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4.xml" ContentType="application/vnd.openxmlformats-officedocument.spreadsheetml.worksheet+xml"/>
  <Override PartName="/xl/charts/chart15.xml" ContentType="application/vnd.openxmlformats-officedocument.drawingml.chart+xml"/>
  <Override PartName="/xl/charts/chart14.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worksheets/sheet3.xml" ContentType="application/vnd.openxmlformats-officedocument.spreadsheetml.worksheet+xml"/>
  <Override PartName="/xl/worksheets/sheet2.xml" ContentType="application/vnd.openxmlformats-officedocument.spreadsheetml.worksheet+xml"/>
  <Override PartName="/xl/drawings/drawing12.xml" ContentType="application/vnd.openxmlformats-officedocument.drawing+xml"/>
  <Override PartName="/xl/charts/chart12.xml" ContentType="application/vnd.openxmlformats-officedocument.drawingml.chart+xml"/>
  <Override PartName="/xl/drawings/drawing11.xml" ContentType="application/vnd.openxmlformats-officedocument.drawing+xml"/>
  <Override PartName="/xl/charts/chart7.xml" ContentType="application/vnd.openxmlformats-officedocument.drawingml.chart+xml"/>
  <Override PartName="/xl/worksheets/sheet1.xml" ContentType="application/vnd.openxmlformats-officedocument.spreadsheetml.worksheet+xml"/>
  <Override PartName="/xl/drawings/drawing9.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worksheets/sheet5.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7.xml" ContentType="application/vnd.openxmlformats-officedocument.drawing+xml"/>
  <Override PartName="/xl/drawings/drawing3.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1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1.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comments3.xml" ContentType="application/vnd.openxmlformats-officedocument.spreadsheetml.comments+xml"/>
  <Override PartName="/xl/comments1.xml" ContentType="application/vnd.openxmlformats-officedocument.spreadsheetml.comment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comments2.xml" ContentType="application/vnd.openxmlformats-officedocument.spreadsheetml.comment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535" tabRatio="626" firstSheet="1" activeTab="1"/>
  </bookViews>
  <sheets>
    <sheet name="Callouts" sheetId="7" state="hidden" r:id="rId1"/>
    <sheet name="Introduction" sheetId="22" r:id="rId2"/>
    <sheet name="Instructions and Data Needs" sheetId="23" r:id="rId3"/>
    <sheet name="Input REFERENCE Rates" sheetId="6" r:id="rId4"/>
    <sheet name="Input COMPARATIVE Rates" sheetId="16" r:id="rId5"/>
    <sheet name="Revenues from REFERENCE Rates" sheetId="1" r:id="rId6"/>
    <sheet name="CB_DATA_" sheetId="9" state="veryHidden" r:id="rId7"/>
    <sheet name="Revenues from COMPARATIVE Rates" sheetId="8" r:id="rId8"/>
    <sheet name="Compare - only changing rates" sheetId="3" r:id="rId9"/>
    <sheet name="Normal Weather Change" sheetId="13" r:id="rId10"/>
    <sheet name="Compare - Normal Weather Change" sheetId="21" r:id="rId11"/>
    <sheet name="Significant Decline in Use" sheetId="11" r:id="rId12"/>
    <sheet name="pred conserv percent - REFEREN" sheetId="18" state="hidden" r:id="rId13"/>
    <sheet name="pred conserv percent - COMPAR" sheetId="10" state="hidden" r:id="rId14"/>
    <sheet name="Compare - Signif Decline in Use" sheetId="17" r:id="rId15"/>
  </sheets>
  <externalReferences>
    <externalReference r:id="rId16"/>
    <externalReference r:id="rId17"/>
  </externalReferences>
  <definedNames>
    <definedName name="Bill" localSheetId="10">[1]callouts!$G$1:$G$4</definedName>
    <definedName name="Bill" localSheetId="8">[1]callouts!$G$1:$G$4</definedName>
    <definedName name="Bill" localSheetId="14">[1]callouts!$G$1:$G$4</definedName>
    <definedName name="Bill">[2]callouts!$G$1:$G$4</definedName>
    <definedName name="BillingPeriod" localSheetId="4">'Input COMPARATIVE Rates'!$C$8</definedName>
    <definedName name="BillingPeriod">'Input REFERENCE Rates'!$C$11</definedName>
    <definedName name="CALLOUTBillPeriod">Callouts!$A$2:$A$3</definedName>
    <definedName name="CALLPeriod">Callouts!$A$2:$A$3</definedName>
    <definedName name="CB_6546b188928f44bba90a2c85c8b0dbd1" localSheetId="6" hidden="1">#N/A</definedName>
    <definedName name="CB_69828db814354c0486aa971aba4ffd13" localSheetId="6" hidden="1">#N/A</definedName>
    <definedName name="CB_a2052367c95045ef8bd8c39cea90738a" localSheetId="6" hidden="1">#N/A</definedName>
    <definedName name="CB_Block_00000000000000000000000000000000" localSheetId="6" hidden="1">"'7.0.0.0"</definedName>
    <definedName name="CB_Block_00000000000000000000000000000000" localSheetId="9" hidden="1">"'7.0.0.0"</definedName>
    <definedName name="CB_Block_00000000000000000000000000000000" localSheetId="7" hidden="1">"'7.0.0.0"</definedName>
    <definedName name="CB_Block_00000000000000000000000000000000" localSheetId="11" hidden="1">"'7.0.0.0"</definedName>
    <definedName name="CB_Block_00000000000000000000000000000001" localSheetId="6" hidden="1">"'635074358405818296"</definedName>
    <definedName name="CB_Block_00000000000000000000000000000001" localSheetId="9" hidden="1">"'635074334096866296"</definedName>
    <definedName name="CB_Block_00000000000000000000000000000001" localSheetId="7" hidden="1">"'635074334096866296"</definedName>
    <definedName name="CB_Block_00000000000000000000000000000001" localSheetId="11" hidden="1">"'635074338318002296"</definedName>
    <definedName name="CB_Block_00000000000000000000000000000003" localSheetId="6" hidden="1">"'11.1.3419.0"</definedName>
    <definedName name="CB_Block_00000000000000000000000000000003" localSheetId="9" hidden="1">"'11.1.3419.0"</definedName>
    <definedName name="CB_Block_00000000000000000000000000000003" localSheetId="7" hidden="1">"'11.1.3419.0"</definedName>
    <definedName name="CB_Block_00000000000000000000000000000003" localSheetId="11" hidden="1">"'11.1.3419.0"</definedName>
    <definedName name="CB_BlockExt_00000000000000000000000000000003" localSheetId="6" hidden="1">"'11.1.2.3.000"</definedName>
    <definedName name="CB_BlockExt_00000000000000000000000000000003" localSheetId="9" hidden="1">"'11.1.2.3.000"</definedName>
    <definedName name="CB_BlockExt_00000000000000000000000000000003" localSheetId="7" hidden="1">"'11.1.2.3.000"</definedName>
    <definedName name="CB_BlockExt_00000000000000000000000000000003" localSheetId="11" hidden="1">"'11.1.2.3.000"</definedName>
    <definedName name="CBWorkbookPriority" localSheetId="6" hidden="1">-1531551123</definedName>
    <definedName name="CBx_85e898da9f7d4cf5b06ef7957bdd2922" localSheetId="6" hidden="1">"'Alternative rate structure'!$A$1"</definedName>
    <definedName name="CBx_b6625640ad934354a76543ccc6ab654f" localSheetId="6" hidden="1">"'Significant Conservation'!$A$1"</definedName>
    <definedName name="CBx_c53c1dd2e4e54691bcf7344173ba6ea2" localSheetId="6" hidden="1">"'CB_DATA_'!$A$1"</definedName>
    <definedName name="CBx_Sheet_Guid" localSheetId="6" hidden="1">"'c53c1dd2-e4e5-4691-bcf7-344173ba6ea2"</definedName>
    <definedName name="CBx_Sheet_Guid" localSheetId="9" hidden="1">"'85e898da-9f7d-4cf5-b06e-f7957bdd2922"</definedName>
    <definedName name="CBx_Sheet_Guid" localSheetId="7" hidden="1">"'85e898da-9f7d-4cf5-b06e-f7957bdd2922"</definedName>
    <definedName name="CBx_Sheet_Guid" localSheetId="11" hidden="1">"'b6625640-ad93-4354-a765-43ccc6ab654f"</definedName>
    <definedName name="CBx_SheetRef" localSheetId="6" hidden="1">CB_DATA_!$A$14</definedName>
    <definedName name="CBx_SheetRef" localSheetId="9" hidden="1">CB_DATA_!$B$14</definedName>
    <definedName name="CBx_SheetRef" localSheetId="7" hidden="1">CB_DATA_!$B$14</definedName>
    <definedName name="CBx_SheetRef" localSheetId="11" hidden="1">CB_DATA_!$C$14</definedName>
    <definedName name="CBx_StorageType" localSheetId="6" hidden="1">2</definedName>
    <definedName name="CBx_StorageType" localSheetId="9" hidden="1">2</definedName>
    <definedName name="CBx_StorageType" localSheetId="7" hidden="1">2</definedName>
    <definedName name="CBx_StorageType" localSheetId="11" hidden="1">2</definedName>
    <definedName name="City" localSheetId="10">[1]callouts!$C$1:$C$3</definedName>
    <definedName name="City" localSheetId="8">[1]callouts!$C$1:$C$3</definedName>
    <definedName name="City" localSheetId="14">[1]callouts!$C$1:$C$3</definedName>
    <definedName name="City">[2]callouts!$C$1:$C$3</definedName>
    <definedName name="MeterSize" localSheetId="10">[1]callouts!$I$1:$I$13</definedName>
    <definedName name="MeterSize" localSheetId="8">[1]callouts!$I$1:$I$13</definedName>
    <definedName name="MeterSize" localSheetId="14">[1]callouts!$I$1:$I$13</definedName>
    <definedName name="MeterSize">[2]callouts!$I$1:$I$13</definedName>
    <definedName name="periodmultiplier" localSheetId="4">'Input COMPARATIVE Rates'!$F$8</definedName>
    <definedName name="periodmultiplier">'Input REFERENCE Rates'!$F$11</definedName>
    <definedName name="_xlnm.Print_Area" localSheetId="10">'Compare - Normal Weather Change'!#REF!</definedName>
    <definedName name="_xlnm.Print_Area" localSheetId="8">'Compare - only changing rates'!$A$34:$L$56</definedName>
    <definedName name="_xlnm.Print_Area" localSheetId="14">'Compare - Signif Decline in Use'!$A$33:$M$57</definedName>
    <definedName name="_xlnm.Print_Area" localSheetId="9">'Normal Weather Change'!#REF!</definedName>
    <definedName name="_xlnm.Print_Area" localSheetId="7">'Revenues from COMPARATIVE Rates'!#REF!</definedName>
    <definedName name="_xlnm.Print_Area" localSheetId="5">'Revenues from REFERENCE Rates'!#REF!</definedName>
    <definedName name="ResidComm" localSheetId="10">[1]callouts!$M$1:$M$2</definedName>
    <definedName name="ResidComm" localSheetId="8">[1]callouts!$M$1:$M$2</definedName>
    <definedName name="ResidComm" localSheetId="14">[1]callouts!$M$1:$M$2</definedName>
    <definedName name="ResidComm">[2]callouts!$M$1:$M$2</definedName>
    <definedName name="Season" localSheetId="10">[1]callouts!$E$1:$E$2</definedName>
    <definedName name="Season" localSheetId="8">[1]callouts!$E$1:$E$2</definedName>
    <definedName name="Season" localSheetId="14">[1]callouts!$E$1:$E$2</definedName>
    <definedName name="Season">[2]callouts!$E$1:$E$2</definedName>
    <definedName name="Units" localSheetId="10">[1]callouts!$K$1:$K$2</definedName>
    <definedName name="Units" localSheetId="8">[1]callouts!$K$1:$K$2</definedName>
    <definedName name="Units" localSheetId="14">[1]callouts!$K$1:$K$2</definedName>
    <definedName name="Units" localSheetId="4">'Input COMPARATIVE Rates'!$C$9</definedName>
    <definedName name="Units">'Input REFERENCE Rates'!$C$12</definedName>
    <definedName name="UtilityName" localSheetId="4">'Input COMPARATIVE Rates'!#REF!</definedName>
    <definedName name="UtilityName">'Input REFERENCE Rates'!$C$5</definedName>
  </definedNames>
  <calcPr calcId="145621" concurrentCalc="0"/>
</workbook>
</file>

<file path=xl/calcChain.xml><?xml version="1.0" encoding="utf-8"?>
<calcChain xmlns="http://schemas.openxmlformats.org/spreadsheetml/2006/main">
  <c r="C89" i="8" l="1"/>
  <c r="B6" i="3"/>
  <c r="B5" i="17"/>
  <c r="P49" i="16"/>
  <c r="M49" i="16"/>
  <c r="S49" i="16"/>
  <c r="C12" i="8"/>
  <c r="AC9" i="8"/>
  <c r="AE37" i="8"/>
  <c r="AE21" i="11"/>
  <c r="AF64" i="10"/>
  <c r="L53" i="16"/>
  <c r="P53" i="16"/>
  <c r="M53" i="16"/>
  <c r="N53" i="16"/>
  <c r="O53" i="16"/>
  <c r="S53" i="16"/>
  <c r="AF64" i="18"/>
  <c r="L53" i="6"/>
  <c r="P53" i="6"/>
  <c r="M53" i="6"/>
  <c r="N53" i="6"/>
  <c r="O53" i="6"/>
  <c r="S53" i="6"/>
  <c r="AF65" i="10"/>
  <c r="AF49" i="10"/>
  <c r="L52" i="16"/>
  <c r="P52" i="16"/>
  <c r="M52" i="16"/>
  <c r="N52" i="16"/>
  <c r="O52" i="16"/>
  <c r="S52" i="16"/>
  <c r="AF49" i="18"/>
  <c r="L52" i="6"/>
  <c r="P52" i="6"/>
  <c r="M52" i="6"/>
  <c r="N52" i="6"/>
  <c r="O52" i="6"/>
  <c r="S52" i="6"/>
  <c r="AF50" i="10"/>
  <c r="B5" i="11"/>
  <c r="AE39" i="11"/>
  <c r="AD8" i="8"/>
  <c r="L50" i="16"/>
  <c r="P50" i="16"/>
  <c r="M50" i="16"/>
  <c r="N50" i="16"/>
  <c r="O50" i="16"/>
  <c r="S50" i="16"/>
  <c r="AC8" i="8"/>
  <c r="B5" i="8"/>
  <c r="G120" i="11"/>
  <c r="E120" i="11"/>
  <c r="G112" i="11"/>
  <c r="E112" i="11"/>
  <c r="B32" i="11"/>
  <c r="E100" i="11"/>
  <c r="E91" i="11"/>
  <c r="B88" i="11"/>
  <c r="K32" i="11"/>
  <c r="L32" i="11"/>
  <c r="M32" i="11"/>
  <c r="A43" i="10"/>
  <c r="C19" i="8"/>
  <c r="C41" i="8"/>
  <c r="S22" i="16"/>
  <c r="C40" i="16"/>
  <c r="I39" i="16"/>
  <c r="J40" i="16"/>
  <c r="N49" i="16"/>
  <c r="O49" i="16"/>
  <c r="AC37" i="8"/>
  <c r="AC43" i="8"/>
  <c r="A58" i="10"/>
  <c r="A43" i="18"/>
  <c r="C13" i="11"/>
  <c r="D13" i="11"/>
  <c r="E13" i="11"/>
  <c r="F13" i="11"/>
  <c r="G13" i="11"/>
  <c r="H13" i="11"/>
  <c r="I13" i="11"/>
  <c r="J13" i="11"/>
  <c r="K13" i="11"/>
  <c r="L13" i="11"/>
  <c r="M13" i="11"/>
  <c r="N13" i="11"/>
  <c r="O13" i="11"/>
  <c r="P13" i="11"/>
  <c r="Q13" i="11"/>
  <c r="R13" i="11"/>
  <c r="S13" i="11"/>
  <c r="T13" i="11"/>
  <c r="U13" i="11"/>
  <c r="V13" i="11"/>
  <c r="W13" i="11"/>
  <c r="X13" i="11"/>
  <c r="Y13" i="11"/>
  <c r="Z13" i="11"/>
  <c r="AA13" i="11"/>
  <c r="AB13" i="11"/>
  <c r="AC13" i="11"/>
  <c r="AE13" i="11"/>
  <c r="AF50" i="18"/>
  <c r="A58" i="18"/>
  <c r="AF65" i="18"/>
  <c r="B110" i="11"/>
  <c r="C96" i="11"/>
  <c r="K37" i="17"/>
  <c r="C113" i="11"/>
  <c r="L35" i="17"/>
  <c r="B137" i="11"/>
  <c r="B7" i="17"/>
  <c r="C66" i="11"/>
  <c r="C41" i="11"/>
  <c r="C219" i="13"/>
  <c r="C146" i="13" a="1"/>
  <c r="C146" i="13"/>
  <c r="D146" i="13"/>
  <c r="B72" i="13" a="1"/>
  <c r="B72" i="13"/>
  <c r="B146" i="13"/>
  <c r="I72" i="13"/>
  <c r="E146" i="13"/>
  <c r="J72" i="13"/>
  <c r="K72" i="13"/>
  <c r="L72" i="13"/>
  <c r="F146" i="13"/>
  <c r="G146" i="13"/>
  <c r="H146" i="13"/>
  <c r="J146" i="13"/>
  <c r="L146" i="13"/>
  <c r="C153" i="13"/>
  <c r="C170" i="13"/>
  <c r="C221" i="13"/>
  <c r="C224" i="13"/>
  <c r="C225" i="13"/>
  <c r="D153" i="13"/>
  <c r="D170" i="13"/>
  <c r="D219" i="13"/>
  <c r="D221" i="13"/>
  <c r="D224" i="13"/>
  <c r="D168" i="13"/>
  <c r="E153" i="13"/>
  <c r="E170" i="13"/>
  <c r="E219" i="13"/>
  <c r="E221" i="13"/>
  <c r="E224" i="13"/>
  <c r="E168" i="13"/>
  <c r="C147" i="13"/>
  <c r="D147" i="13"/>
  <c r="D17" i="13"/>
  <c r="B73" i="13"/>
  <c r="B147" i="13"/>
  <c r="I73" i="13"/>
  <c r="E147" i="13"/>
  <c r="J73" i="13"/>
  <c r="K73" i="13"/>
  <c r="L73" i="13"/>
  <c r="F147" i="13"/>
  <c r="G147" i="13"/>
  <c r="H147" i="13"/>
  <c r="J147" i="13"/>
  <c r="L147" i="13"/>
  <c r="C148" i="13"/>
  <c r="D148" i="13"/>
  <c r="E17" i="13"/>
  <c r="B74" i="13"/>
  <c r="B148" i="13"/>
  <c r="E148" i="13"/>
  <c r="F148" i="13"/>
  <c r="G148" i="13"/>
  <c r="H148" i="13"/>
  <c r="J148" i="13"/>
  <c r="L148" i="13"/>
  <c r="F153" i="13"/>
  <c r="F170" i="13"/>
  <c r="G153" i="13"/>
  <c r="G170" i="13"/>
  <c r="F219" i="13"/>
  <c r="F221" i="13"/>
  <c r="F224" i="13"/>
  <c r="G168" i="13"/>
  <c r="H153" i="13"/>
  <c r="H170" i="13"/>
  <c r="I153" i="13"/>
  <c r="I170" i="13"/>
  <c r="G219" i="13"/>
  <c r="G221" i="13"/>
  <c r="G224" i="13"/>
  <c r="H168" i="13"/>
  <c r="I168" i="13"/>
  <c r="J153" i="13"/>
  <c r="J170" i="13"/>
  <c r="H219" i="13"/>
  <c r="H221" i="13"/>
  <c r="H224" i="13"/>
  <c r="J168" i="13"/>
  <c r="K153" i="13"/>
  <c r="K170" i="13"/>
  <c r="I219" i="13"/>
  <c r="I221" i="13"/>
  <c r="I224" i="13"/>
  <c r="K168" i="13"/>
  <c r="L153" i="13"/>
  <c r="L170" i="13"/>
  <c r="M153" i="13"/>
  <c r="M170" i="13"/>
  <c r="J219" i="13"/>
  <c r="J221" i="13"/>
  <c r="J224" i="13"/>
  <c r="M168" i="13"/>
  <c r="N153" i="13"/>
  <c r="N170" i="13"/>
  <c r="K219" i="13"/>
  <c r="K221" i="13"/>
  <c r="K224" i="13"/>
  <c r="L168" i="13"/>
  <c r="N168" i="13"/>
  <c r="O153" i="13"/>
  <c r="O170" i="13"/>
  <c r="L219" i="13"/>
  <c r="L221" i="13"/>
  <c r="L224" i="13"/>
  <c r="O168" i="13"/>
  <c r="P153" i="13"/>
  <c r="P170" i="13"/>
  <c r="Q153" i="13"/>
  <c r="Q170" i="13"/>
  <c r="M219" i="13"/>
  <c r="M221" i="13"/>
  <c r="M224" i="13"/>
  <c r="Q168" i="13"/>
  <c r="R153" i="13"/>
  <c r="R170" i="13"/>
  <c r="N219" i="13"/>
  <c r="N221" i="13"/>
  <c r="N224" i="13"/>
  <c r="R168" i="13"/>
  <c r="S153" i="13"/>
  <c r="S170" i="13"/>
  <c r="O219" i="13"/>
  <c r="O221" i="13"/>
  <c r="O224" i="13"/>
  <c r="P168" i="13"/>
  <c r="S168" i="13"/>
  <c r="T153" i="13"/>
  <c r="T170" i="13"/>
  <c r="U153" i="13"/>
  <c r="U170" i="13"/>
  <c r="P219" i="13"/>
  <c r="P221" i="13"/>
  <c r="P224" i="13"/>
  <c r="U168" i="13"/>
  <c r="V153" i="13"/>
  <c r="V170" i="13"/>
  <c r="Q219" i="13"/>
  <c r="Q221" i="13"/>
  <c r="Q224" i="13"/>
  <c r="V168" i="13"/>
  <c r="W153" i="13"/>
  <c r="W170" i="13"/>
  <c r="R219" i="13"/>
  <c r="R221" i="13"/>
  <c r="R224" i="13"/>
  <c r="W168" i="13"/>
  <c r="X153" i="13"/>
  <c r="X170" i="13"/>
  <c r="Y153" i="13"/>
  <c r="Y170" i="13"/>
  <c r="S219" i="13"/>
  <c r="S221" i="13"/>
  <c r="S224" i="13"/>
  <c r="T168" i="13"/>
  <c r="Y168" i="13"/>
  <c r="Z153" i="13"/>
  <c r="Z170" i="13"/>
  <c r="T219" i="13"/>
  <c r="T221" i="13"/>
  <c r="T224" i="13"/>
  <c r="Z168" i="13"/>
  <c r="AA153" i="13"/>
  <c r="AA170" i="13"/>
  <c r="U219" i="13"/>
  <c r="U221" i="13"/>
  <c r="U224" i="13"/>
  <c r="AA168" i="13"/>
  <c r="AB153" i="13"/>
  <c r="AB170" i="13"/>
  <c r="V219" i="13"/>
  <c r="AE159" i="13"/>
  <c r="AC152" i="13"/>
  <c r="AC153" i="13"/>
  <c r="AE170" i="13"/>
  <c r="AC170" i="13"/>
  <c r="V221" i="13"/>
  <c r="V224" i="13"/>
  <c r="AC168" i="13"/>
  <c r="W219" i="13"/>
  <c r="W221" i="13"/>
  <c r="W224" i="13"/>
  <c r="X168" i="13"/>
  <c r="X219" i="13"/>
  <c r="X221" i="13"/>
  <c r="X224" i="13"/>
  <c r="Y219" i="13"/>
  <c r="Y221" i="13"/>
  <c r="Y224" i="13"/>
  <c r="Z219" i="13"/>
  <c r="Z221" i="13"/>
  <c r="Z224" i="13"/>
  <c r="AA219" i="13"/>
  <c r="AA221" i="13"/>
  <c r="AA224" i="13"/>
  <c r="AB168" i="13"/>
  <c r="AB219" i="13"/>
  <c r="AB221" i="13"/>
  <c r="AB224" i="13"/>
  <c r="AC176" i="13"/>
  <c r="AC219" i="13"/>
  <c r="AC221" i="13"/>
  <c r="AC224" i="13"/>
  <c r="L54" i="16"/>
  <c r="P54" i="16"/>
  <c r="M54" i="16"/>
  <c r="N54" i="16"/>
  <c r="O54" i="16"/>
  <c r="S54" i="16"/>
  <c r="AC236" i="13"/>
  <c r="I146" i="13"/>
  <c r="K146" i="13"/>
  <c r="M146" i="13"/>
  <c r="C154" i="13"/>
  <c r="C258" i="13"/>
  <c r="C309" i="13"/>
  <c r="C312" i="13"/>
  <c r="C313" i="13"/>
  <c r="D154" i="13"/>
  <c r="D258" i="13"/>
  <c r="E154" i="13"/>
  <c r="E258" i="13"/>
  <c r="D307" i="13"/>
  <c r="D309" i="13"/>
  <c r="D312" i="13"/>
  <c r="E256" i="13"/>
  <c r="I147" i="13"/>
  <c r="K147" i="13"/>
  <c r="M147" i="13"/>
  <c r="I148" i="13"/>
  <c r="K148" i="13"/>
  <c r="M148" i="13"/>
  <c r="F154" i="13"/>
  <c r="F258" i="13"/>
  <c r="E307" i="13"/>
  <c r="E309" i="13"/>
  <c r="E312" i="13"/>
  <c r="F256" i="13"/>
  <c r="F307" i="13"/>
  <c r="F309" i="13"/>
  <c r="F312" i="13"/>
  <c r="G154" i="13"/>
  <c r="G258" i="13"/>
  <c r="G307" i="13"/>
  <c r="G309" i="13"/>
  <c r="G312" i="13"/>
  <c r="G256" i="13"/>
  <c r="H154" i="13"/>
  <c r="H258" i="13"/>
  <c r="H307" i="13"/>
  <c r="H309" i="13"/>
  <c r="H312" i="13"/>
  <c r="H256" i="13"/>
  <c r="I154" i="13"/>
  <c r="I258" i="13"/>
  <c r="I307" i="13"/>
  <c r="I309" i="13"/>
  <c r="I312" i="13"/>
  <c r="I256" i="13"/>
  <c r="J154" i="13"/>
  <c r="J258" i="13"/>
  <c r="J307" i="13"/>
  <c r="J309" i="13"/>
  <c r="J312" i="13"/>
  <c r="J256" i="13"/>
  <c r="K154" i="13"/>
  <c r="K258" i="13"/>
  <c r="K307" i="13"/>
  <c r="K309" i="13"/>
  <c r="K312" i="13"/>
  <c r="K256" i="13"/>
  <c r="L154" i="13"/>
  <c r="L258" i="13"/>
  <c r="L307" i="13"/>
  <c r="L309" i="13"/>
  <c r="L312" i="13"/>
  <c r="L256" i="13"/>
  <c r="M154" i="13"/>
  <c r="M258" i="13"/>
  <c r="M307" i="13"/>
  <c r="M309" i="13"/>
  <c r="M312" i="13"/>
  <c r="M256" i="13"/>
  <c r="N154" i="13"/>
  <c r="N258" i="13"/>
  <c r="N307" i="13"/>
  <c r="N309" i="13"/>
  <c r="N312" i="13"/>
  <c r="N256" i="13"/>
  <c r="O154" i="13"/>
  <c r="O258" i="13"/>
  <c r="O307" i="13"/>
  <c r="O309" i="13"/>
  <c r="O312" i="13"/>
  <c r="O256" i="13"/>
  <c r="P154" i="13"/>
  <c r="P258" i="13"/>
  <c r="P307" i="13"/>
  <c r="P309" i="13"/>
  <c r="P312" i="13"/>
  <c r="P256" i="13"/>
  <c r="Q154" i="13"/>
  <c r="Q258" i="13"/>
  <c r="Q307" i="13"/>
  <c r="Q309" i="13"/>
  <c r="Q312" i="13"/>
  <c r="Q256" i="13"/>
  <c r="R154" i="13"/>
  <c r="R258" i="13"/>
  <c r="R307" i="13"/>
  <c r="R309" i="13"/>
  <c r="R312" i="13"/>
  <c r="R256" i="13"/>
  <c r="S154" i="13"/>
  <c r="S258" i="13"/>
  <c r="S307" i="13"/>
  <c r="S309" i="13"/>
  <c r="S312" i="13"/>
  <c r="S256" i="13"/>
  <c r="T154" i="13"/>
  <c r="T258" i="13"/>
  <c r="T307" i="13"/>
  <c r="T309" i="13"/>
  <c r="T312" i="13"/>
  <c r="T256" i="13"/>
  <c r="U154" i="13"/>
  <c r="U258" i="13"/>
  <c r="U307" i="13"/>
  <c r="U309" i="13"/>
  <c r="U312" i="13"/>
  <c r="U256" i="13"/>
  <c r="V154" i="13"/>
  <c r="V258" i="13"/>
  <c r="V307" i="13"/>
  <c r="V309" i="13"/>
  <c r="V312" i="13"/>
  <c r="V256" i="13"/>
  <c r="W154" i="13"/>
  <c r="W258" i="13"/>
  <c r="W307" i="13"/>
  <c r="W309" i="13"/>
  <c r="W312" i="13"/>
  <c r="W256" i="13"/>
  <c r="X154" i="13"/>
  <c r="X258" i="13"/>
  <c r="Y154" i="13"/>
  <c r="Y258" i="13"/>
  <c r="Z154" i="13"/>
  <c r="Z258" i="13"/>
  <c r="AA154" i="13"/>
  <c r="AA258" i="13"/>
  <c r="AB154" i="13"/>
  <c r="AB258" i="13"/>
  <c r="X307" i="13"/>
  <c r="AC154" i="13"/>
  <c r="AE258" i="13"/>
  <c r="AC258" i="13"/>
  <c r="X309" i="13"/>
  <c r="X312" i="13"/>
  <c r="X256" i="13"/>
  <c r="AC256" i="13"/>
  <c r="Y307" i="13"/>
  <c r="Y309" i="13"/>
  <c r="Y312" i="13"/>
  <c r="Y256" i="13"/>
  <c r="Z307" i="13"/>
  <c r="Z309" i="13"/>
  <c r="Z312" i="13"/>
  <c r="Z256" i="13"/>
  <c r="AA307" i="13"/>
  <c r="AA309" i="13"/>
  <c r="AA312" i="13"/>
  <c r="AA256" i="13"/>
  <c r="AB307" i="13"/>
  <c r="AB309" i="13"/>
  <c r="AB312" i="13"/>
  <c r="AB256" i="13"/>
  <c r="AC264" i="13"/>
  <c r="AC307" i="13"/>
  <c r="AC309" i="13"/>
  <c r="AC312" i="13"/>
  <c r="L55" i="16"/>
  <c r="P55" i="16"/>
  <c r="M55" i="16"/>
  <c r="N55" i="16"/>
  <c r="O55" i="16"/>
  <c r="S55" i="16"/>
  <c r="AC324" i="13"/>
  <c r="E42" i="1"/>
  <c r="E41" i="1"/>
  <c r="E40" i="1"/>
  <c r="L24" i="21"/>
  <c r="L18" i="21"/>
  <c r="I131" i="13"/>
  <c r="I130" i="13"/>
  <c r="I129" i="13"/>
  <c r="I128" i="13"/>
  <c r="F128" i="13"/>
  <c r="C73" i="13"/>
  <c r="D73" i="13"/>
  <c r="E73" i="13"/>
  <c r="F73" i="13"/>
  <c r="H73" i="13"/>
  <c r="C71" i="13"/>
  <c r="C77" i="13"/>
  <c r="C74" i="13"/>
  <c r="D74" i="13"/>
  <c r="E74" i="13"/>
  <c r="F74" i="13"/>
  <c r="H74" i="13"/>
  <c r="I74" i="13"/>
  <c r="C75" i="13"/>
  <c r="D75" i="13"/>
  <c r="E75" i="13"/>
  <c r="F75" i="13"/>
  <c r="H75" i="13"/>
  <c r="I75" i="13"/>
  <c r="C76" i="13"/>
  <c r="D76" i="13"/>
  <c r="E76" i="13"/>
  <c r="F76" i="13"/>
  <c r="H76" i="13"/>
  <c r="I76" i="13"/>
  <c r="I49" i="13"/>
  <c r="I50" i="13"/>
  <c r="I51" i="13"/>
  <c r="I52" i="13"/>
  <c r="I20" i="13"/>
  <c r="O20" i="13"/>
  <c r="I21" i="13"/>
  <c r="O21" i="13"/>
  <c r="I22" i="13"/>
  <c r="O22" i="13"/>
  <c r="I23" i="13"/>
  <c r="O23" i="13"/>
  <c r="I24" i="13"/>
  <c r="O24" i="13"/>
  <c r="I25" i="13"/>
  <c r="O25" i="13"/>
  <c r="I26" i="13"/>
  <c r="O26" i="13"/>
  <c r="I27" i="13"/>
  <c r="O27" i="13"/>
  <c r="I28" i="13"/>
  <c r="O28" i="13"/>
  <c r="I29" i="13"/>
  <c r="O29" i="13"/>
  <c r="I30" i="13"/>
  <c r="O30" i="13"/>
  <c r="I31" i="13"/>
  <c r="O31" i="13"/>
  <c r="I32" i="13"/>
  <c r="O32" i="13"/>
  <c r="I33" i="13"/>
  <c r="O33" i="13"/>
  <c r="I34" i="13"/>
  <c r="O34" i="13"/>
  <c r="I35" i="13"/>
  <c r="O35" i="13"/>
  <c r="I36" i="13"/>
  <c r="O36" i="13"/>
  <c r="I37" i="13"/>
  <c r="O37" i="13"/>
  <c r="I38" i="13"/>
  <c r="O38" i="13"/>
  <c r="I53" i="13"/>
  <c r="I54" i="13"/>
  <c r="I55" i="13"/>
  <c r="I56" i="13"/>
  <c r="I57" i="13"/>
  <c r="I58" i="13"/>
  <c r="I59" i="13"/>
  <c r="I60" i="13"/>
  <c r="I61" i="13"/>
  <c r="I62" i="13"/>
  <c r="I63" i="13"/>
  <c r="I64" i="13"/>
  <c r="I65" i="13"/>
  <c r="I66" i="13"/>
  <c r="I67" i="13"/>
  <c r="I68" i="13"/>
  <c r="I19" i="13"/>
  <c r="O19" i="13"/>
  <c r="D81" i="13"/>
  <c r="C72" i="13"/>
  <c r="D72" i="13"/>
  <c r="E72" i="13"/>
  <c r="F72" i="13"/>
  <c r="H72" i="13"/>
  <c r="D71" i="13"/>
  <c r="D77" i="13"/>
  <c r="C80" i="13"/>
  <c r="D80" i="13"/>
  <c r="H50" i="13"/>
  <c r="H51" i="13"/>
  <c r="H52" i="13"/>
  <c r="H53" i="13"/>
  <c r="J19" i="13"/>
  <c r="P19" i="13"/>
  <c r="J20" i="13"/>
  <c r="P20" i="13"/>
  <c r="J21" i="13"/>
  <c r="P21" i="13"/>
  <c r="J22" i="13"/>
  <c r="P22" i="13"/>
  <c r="J23" i="13"/>
  <c r="P23" i="13"/>
  <c r="J24" i="13"/>
  <c r="P24" i="13"/>
  <c r="J25" i="13"/>
  <c r="P25" i="13"/>
  <c r="J26" i="13"/>
  <c r="P26" i="13"/>
  <c r="J27" i="13"/>
  <c r="P27" i="13"/>
  <c r="J28" i="13"/>
  <c r="P28" i="13"/>
  <c r="J29" i="13"/>
  <c r="P29" i="13"/>
  <c r="J30" i="13"/>
  <c r="P30" i="13"/>
  <c r="J31" i="13"/>
  <c r="P31" i="13"/>
  <c r="J32" i="13"/>
  <c r="P32" i="13"/>
  <c r="J33" i="13"/>
  <c r="P33" i="13"/>
  <c r="J34" i="13"/>
  <c r="P34" i="13"/>
  <c r="J35" i="13"/>
  <c r="P35" i="13"/>
  <c r="J36" i="13"/>
  <c r="P36" i="13"/>
  <c r="J37" i="13"/>
  <c r="P37" i="13"/>
  <c r="J38" i="13"/>
  <c r="P38" i="13"/>
  <c r="H54" i="13"/>
  <c r="H55" i="13"/>
  <c r="H56" i="13"/>
  <c r="H57" i="13"/>
  <c r="H58" i="13"/>
  <c r="H59" i="13"/>
  <c r="H60" i="13"/>
  <c r="H61" i="13"/>
  <c r="H62" i="13"/>
  <c r="H63" i="13"/>
  <c r="H64" i="13"/>
  <c r="H65" i="13"/>
  <c r="H66" i="13"/>
  <c r="H67" i="13"/>
  <c r="H68" i="13"/>
  <c r="H49" i="13"/>
  <c r="C82" i="13"/>
  <c r="J74" i="13"/>
  <c r="J75" i="13"/>
  <c r="J76" i="13"/>
  <c r="B128" i="13" a="1"/>
  <c r="B128" i="13"/>
  <c r="D128" i="13"/>
  <c r="L78" i="13"/>
  <c r="M78" i="13"/>
  <c r="M74" i="13"/>
  <c r="M75" i="13"/>
  <c r="M76" i="13"/>
  <c r="K75" i="13"/>
  <c r="K74" i="13"/>
  <c r="L74" i="13"/>
  <c r="L75" i="13"/>
  <c r="K76" i="13"/>
  <c r="L76" i="13"/>
  <c r="B121" i="13"/>
  <c r="B120" i="13"/>
  <c r="B119" i="13"/>
  <c r="K19" i="13"/>
  <c r="Q19" i="13"/>
  <c r="K20" i="13"/>
  <c r="Q20" i="13"/>
  <c r="K21" i="13"/>
  <c r="Q21" i="13"/>
  <c r="K22" i="13"/>
  <c r="Q22" i="13"/>
  <c r="K23" i="13"/>
  <c r="Q23" i="13"/>
  <c r="K24" i="13"/>
  <c r="Q24" i="13"/>
  <c r="K25" i="13"/>
  <c r="Q25" i="13"/>
  <c r="K26" i="13"/>
  <c r="Q26" i="13"/>
  <c r="K27" i="13"/>
  <c r="Q27" i="13"/>
  <c r="K28" i="13"/>
  <c r="Q28" i="13"/>
  <c r="K29" i="13"/>
  <c r="Q29" i="13"/>
  <c r="K30" i="13"/>
  <c r="Q30" i="13"/>
  <c r="K31" i="13"/>
  <c r="Q31" i="13"/>
  <c r="K32" i="13"/>
  <c r="Q32" i="13"/>
  <c r="K33" i="13"/>
  <c r="Q33" i="13"/>
  <c r="K34" i="13"/>
  <c r="Q34" i="13"/>
  <c r="K35" i="13"/>
  <c r="Q35" i="13"/>
  <c r="K36" i="13"/>
  <c r="Q36" i="13"/>
  <c r="K37" i="13"/>
  <c r="Q37" i="13"/>
  <c r="K38" i="13"/>
  <c r="Q38" i="13"/>
  <c r="C83" i="13"/>
  <c r="C81" i="13"/>
  <c r="J49" i="13"/>
  <c r="J50" i="13"/>
  <c r="J51" i="13"/>
  <c r="J52" i="13"/>
  <c r="J53" i="13"/>
  <c r="J54" i="13"/>
  <c r="J55" i="13"/>
  <c r="J56" i="13"/>
  <c r="J57" i="13"/>
  <c r="J58" i="13"/>
  <c r="J59" i="13"/>
  <c r="J60" i="13"/>
  <c r="J61" i="13"/>
  <c r="J62" i="13"/>
  <c r="J63" i="13"/>
  <c r="J64" i="13"/>
  <c r="J65" i="13"/>
  <c r="J66" i="13"/>
  <c r="J67" i="13"/>
  <c r="J68" i="13"/>
  <c r="E83" i="13"/>
  <c r="K49" i="13"/>
  <c r="K50" i="13"/>
  <c r="K51" i="13"/>
  <c r="K52" i="13"/>
  <c r="K53" i="13"/>
  <c r="K54" i="13"/>
  <c r="K55" i="13"/>
  <c r="K56" i="13"/>
  <c r="K57" i="13"/>
  <c r="K58" i="13"/>
  <c r="K59" i="13"/>
  <c r="K60" i="13"/>
  <c r="K61" i="13"/>
  <c r="K62" i="13"/>
  <c r="K63" i="13"/>
  <c r="K64" i="13"/>
  <c r="K65" i="13"/>
  <c r="K66" i="13"/>
  <c r="K67" i="13"/>
  <c r="K68" i="13"/>
  <c r="F83" i="13"/>
  <c r="B115" i="13"/>
  <c r="B19" i="13"/>
  <c r="B49" i="13"/>
  <c r="C16" i="13"/>
  <c r="B50" i="13"/>
  <c r="B51" i="13"/>
  <c r="B52" i="13"/>
  <c r="B53" i="13"/>
  <c r="B54" i="13"/>
  <c r="B55" i="13"/>
  <c r="B56" i="13"/>
  <c r="B57" i="13"/>
  <c r="B58" i="13"/>
  <c r="B59" i="13"/>
  <c r="B60" i="13"/>
  <c r="B61" i="13"/>
  <c r="B62" i="13"/>
  <c r="B63" i="13"/>
  <c r="B64" i="13"/>
  <c r="B65" i="13"/>
  <c r="B66" i="13"/>
  <c r="B67" i="13"/>
  <c r="B68" i="13"/>
  <c r="G17" i="13"/>
  <c r="F41" i="1"/>
  <c r="L16" i="3"/>
  <c r="L11" i="3"/>
  <c r="B29" i="8"/>
  <c r="C35" i="1" a="1"/>
  <c r="C35" i="1"/>
  <c r="C37" i="1"/>
  <c r="D37" i="1"/>
  <c r="E37" i="1"/>
  <c r="F37" i="1"/>
  <c r="G37" i="1"/>
  <c r="H37" i="1"/>
  <c r="I37" i="1"/>
  <c r="J37" i="1"/>
  <c r="K37" i="1"/>
  <c r="L37" i="1"/>
  <c r="M37" i="1"/>
  <c r="N37" i="1"/>
  <c r="O37" i="1"/>
  <c r="P37" i="1"/>
  <c r="Q37" i="1"/>
  <c r="R37" i="1"/>
  <c r="S37" i="1"/>
  <c r="T37" i="1"/>
  <c r="U37" i="1"/>
  <c r="V37" i="1"/>
  <c r="W37" i="1"/>
  <c r="X37" i="1"/>
  <c r="Y37" i="1"/>
  <c r="Z37" i="1"/>
  <c r="AA37" i="1"/>
  <c r="AB37" i="1"/>
  <c r="AC13" i="1"/>
  <c r="AC37" i="1"/>
  <c r="C36" i="1"/>
  <c r="D35" i="1"/>
  <c r="D36" i="1"/>
  <c r="E35" i="1"/>
  <c r="E36" i="1"/>
  <c r="F35" i="1"/>
  <c r="F36" i="1"/>
  <c r="G35" i="1"/>
  <c r="G36" i="1"/>
  <c r="H35" i="1"/>
  <c r="H36" i="1"/>
  <c r="I35" i="1"/>
  <c r="I36" i="1"/>
  <c r="J35" i="1"/>
  <c r="J36" i="1"/>
  <c r="K35" i="1"/>
  <c r="K36" i="1"/>
  <c r="L35" i="1"/>
  <c r="L36" i="1"/>
  <c r="M35" i="1"/>
  <c r="M36" i="1"/>
  <c r="N35" i="1"/>
  <c r="N36" i="1"/>
  <c r="O35" i="1"/>
  <c r="O36" i="1"/>
  <c r="P35" i="1"/>
  <c r="P36" i="1"/>
  <c r="Q35" i="1"/>
  <c r="Q36" i="1"/>
  <c r="R35" i="1"/>
  <c r="R36" i="1"/>
  <c r="S35" i="1"/>
  <c r="S36" i="1"/>
  <c r="T35" i="1"/>
  <c r="T36" i="1"/>
  <c r="U35" i="1"/>
  <c r="U36" i="1"/>
  <c r="V35" i="1"/>
  <c r="V36" i="1"/>
  <c r="W35" i="1"/>
  <c r="W36" i="1"/>
  <c r="X35" i="1"/>
  <c r="X36" i="1"/>
  <c r="Y35" i="1"/>
  <c r="Y36" i="1"/>
  <c r="Z35" i="1"/>
  <c r="Z36" i="1"/>
  <c r="AA35" i="1"/>
  <c r="AA36" i="1"/>
  <c r="AB35" i="1"/>
  <c r="AB36" i="1"/>
  <c r="L51" i="6"/>
  <c r="P51" i="6"/>
  <c r="M51" i="6"/>
  <c r="N51" i="6"/>
  <c r="O51" i="6"/>
  <c r="S51" i="6"/>
  <c r="E24" i="1"/>
  <c r="E26" i="1"/>
  <c r="AC35" i="1"/>
  <c r="AC36" i="1"/>
  <c r="B24" i="1"/>
  <c r="B18" i="1"/>
  <c r="AD13" i="1"/>
  <c r="C14" i="1"/>
  <c r="L17" i="3"/>
  <c r="D23" i="16"/>
  <c r="D12" i="6"/>
  <c r="S24" i="6"/>
  <c r="C45" i="6"/>
  <c r="C46" i="6"/>
  <c r="C47" i="6"/>
  <c r="C48" i="6"/>
  <c r="C41" i="6"/>
  <c r="D11" i="6"/>
  <c r="E41" i="6"/>
  <c r="C42" i="6"/>
  <c r="E42" i="6"/>
  <c r="C43" i="6"/>
  <c r="E43" i="6"/>
  <c r="C44" i="6"/>
  <c r="E44" i="6"/>
  <c r="E45" i="6"/>
  <c r="E46" i="6"/>
  <c r="E47" i="6"/>
  <c r="E48" i="6"/>
  <c r="C49" i="6"/>
  <c r="E49" i="6"/>
  <c r="C50" i="6"/>
  <c r="E50" i="6"/>
  <c r="M25" i="6"/>
  <c r="L24" i="6"/>
  <c r="N25" i="6"/>
  <c r="O25" i="6"/>
  <c r="M24" i="6"/>
  <c r="P25" i="6"/>
  <c r="Q25" i="6"/>
  <c r="R25" i="6"/>
  <c r="S25" i="6"/>
  <c r="D58" i="6"/>
  <c r="F58" i="6"/>
  <c r="M26" i="6"/>
  <c r="N26" i="6"/>
  <c r="O26" i="6"/>
  <c r="P26" i="6"/>
  <c r="Q26" i="6"/>
  <c r="R26" i="6"/>
  <c r="S26" i="6"/>
  <c r="D59" i="6"/>
  <c r="F59" i="6"/>
  <c r="M27" i="6"/>
  <c r="N27" i="6"/>
  <c r="O27" i="6"/>
  <c r="P27" i="6"/>
  <c r="Q27" i="6"/>
  <c r="R27" i="6"/>
  <c r="S27" i="6"/>
  <c r="D60" i="6"/>
  <c r="F60" i="6"/>
  <c r="M28" i="6"/>
  <c r="N28" i="6"/>
  <c r="O28" i="6"/>
  <c r="P28" i="6"/>
  <c r="Q28" i="6"/>
  <c r="R28" i="6"/>
  <c r="S28" i="6"/>
  <c r="D61" i="6"/>
  <c r="F61" i="6"/>
  <c r="M29" i="6"/>
  <c r="N29" i="6"/>
  <c r="O29" i="6"/>
  <c r="P29" i="6"/>
  <c r="Q29" i="6"/>
  <c r="R29" i="6"/>
  <c r="S29" i="6"/>
  <c r="D62" i="6"/>
  <c r="F62" i="6"/>
  <c r="M30" i="6"/>
  <c r="N30" i="6"/>
  <c r="O30" i="6"/>
  <c r="P30" i="6"/>
  <c r="Q30" i="6"/>
  <c r="R30" i="6"/>
  <c r="S30" i="6"/>
  <c r="D63" i="6"/>
  <c r="F63" i="6"/>
  <c r="M31" i="6"/>
  <c r="N31" i="6"/>
  <c r="O31" i="6"/>
  <c r="P31" i="6"/>
  <c r="Q31" i="6"/>
  <c r="R31" i="6"/>
  <c r="S31" i="6"/>
  <c r="D64" i="6"/>
  <c r="F64" i="6"/>
  <c r="M32" i="6"/>
  <c r="N32" i="6"/>
  <c r="O32" i="6"/>
  <c r="P32" i="6"/>
  <c r="Q32" i="6"/>
  <c r="R32" i="6"/>
  <c r="S32" i="6"/>
  <c r="D65" i="6"/>
  <c r="F65" i="6"/>
  <c r="M33" i="6"/>
  <c r="N33" i="6"/>
  <c r="O33" i="6"/>
  <c r="P33" i="6"/>
  <c r="Q33" i="6"/>
  <c r="R33" i="6"/>
  <c r="S33" i="6"/>
  <c r="D66" i="6"/>
  <c r="F66" i="6"/>
  <c r="M34" i="6"/>
  <c r="N34" i="6"/>
  <c r="O34" i="6"/>
  <c r="P34" i="6"/>
  <c r="Q34" i="6"/>
  <c r="R34" i="6"/>
  <c r="S34" i="6"/>
  <c r="D67" i="6"/>
  <c r="F67" i="6"/>
  <c r="M35" i="6"/>
  <c r="N35" i="6"/>
  <c r="O35" i="6"/>
  <c r="P35" i="6"/>
  <c r="Q35" i="6"/>
  <c r="R35" i="6"/>
  <c r="S35" i="6"/>
  <c r="D68" i="6"/>
  <c r="F68" i="6"/>
  <c r="M36" i="6"/>
  <c r="N36" i="6"/>
  <c r="O36" i="6"/>
  <c r="P36" i="6"/>
  <c r="Q36" i="6"/>
  <c r="R36" i="6"/>
  <c r="S36" i="6"/>
  <c r="D69" i="6"/>
  <c r="F69" i="6"/>
  <c r="M37" i="6"/>
  <c r="N37" i="6"/>
  <c r="O37" i="6"/>
  <c r="P37" i="6"/>
  <c r="Q37" i="6"/>
  <c r="R37" i="6"/>
  <c r="S37" i="6"/>
  <c r="D70" i="6"/>
  <c r="F70" i="6"/>
  <c r="M38" i="6"/>
  <c r="N38" i="6"/>
  <c r="O38" i="6"/>
  <c r="P38" i="6"/>
  <c r="Q38" i="6"/>
  <c r="R38" i="6"/>
  <c r="S38" i="6"/>
  <c r="D71" i="6"/>
  <c r="F71" i="6"/>
  <c r="M39" i="6"/>
  <c r="N39" i="6"/>
  <c r="O39" i="6"/>
  <c r="P39" i="6"/>
  <c r="Q39" i="6"/>
  <c r="R39" i="6"/>
  <c r="S39" i="6"/>
  <c r="D72" i="6"/>
  <c r="F72" i="6"/>
  <c r="M40" i="6"/>
  <c r="N40" i="6"/>
  <c r="O40" i="6"/>
  <c r="P40" i="6"/>
  <c r="Q40" i="6"/>
  <c r="R40" i="6"/>
  <c r="S40" i="6"/>
  <c r="D73" i="6"/>
  <c r="F73" i="6"/>
  <c r="M41" i="6"/>
  <c r="N41" i="6"/>
  <c r="O41" i="6"/>
  <c r="P41" i="6"/>
  <c r="Q41" i="6"/>
  <c r="R41" i="6"/>
  <c r="S41" i="6"/>
  <c r="D74" i="6"/>
  <c r="F74" i="6"/>
  <c r="M42" i="6"/>
  <c r="N42" i="6"/>
  <c r="O42" i="6"/>
  <c r="P42" i="6"/>
  <c r="Q42" i="6"/>
  <c r="R42" i="6"/>
  <c r="S42" i="6"/>
  <c r="D75" i="6"/>
  <c r="F75" i="6"/>
  <c r="M43" i="6"/>
  <c r="N43" i="6"/>
  <c r="O43" i="6"/>
  <c r="P43" i="6"/>
  <c r="Q43" i="6"/>
  <c r="R43" i="6"/>
  <c r="S43" i="6"/>
  <c r="D76" i="6"/>
  <c r="F76" i="6"/>
  <c r="M44" i="6"/>
  <c r="N44" i="6"/>
  <c r="O44" i="6"/>
  <c r="P44" i="6"/>
  <c r="Q44" i="6"/>
  <c r="R44" i="6"/>
  <c r="S44" i="6"/>
  <c r="D77" i="6"/>
  <c r="F77" i="6"/>
  <c r="M45" i="6"/>
  <c r="N45" i="6"/>
  <c r="O45" i="6"/>
  <c r="P45" i="6"/>
  <c r="Q45" i="6"/>
  <c r="R45" i="6"/>
  <c r="S45" i="6"/>
  <c r="D78" i="6"/>
  <c r="F78" i="6"/>
  <c r="M46" i="6"/>
  <c r="N46" i="6"/>
  <c r="O46" i="6"/>
  <c r="P46" i="6"/>
  <c r="Q46" i="6"/>
  <c r="R46" i="6"/>
  <c r="S46" i="6"/>
  <c r="D79" i="6"/>
  <c r="F79" i="6"/>
  <c r="M47" i="6"/>
  <c r="N47" i="6"/>
  <c r="O47" i="6"/>
  <c r="P47" i="6"/>
  <c r="Q47" i="6"/>
  <c r="R47" i="6"/>
  <c r="S47" i="6"/>
  <c r="D80" i="6"/>
  <c r="F80" i="6"/>
  <c r="M48" i="6"/>
  <c r="N48" i="6"/>
  <c r="O48" i="6"/>
  <c r="P48" i="6"/>
  <c r="Q48" i="6"/>
  <c r="R48" i="6"/>
  <c r="S48" i="6"/>
  <c r="D81" i="6"/>
  <c r="F81" i="6"/>
  <c r="M49" i="6"/>
  <c r="N49" i="6"/>
  <c r="O49" i="6"/>
  <c r="P49" i="6"/>
  <c r="Q49" i="6"/>
  <c r="R49" i="6"/>
  <c r="S49" i="6"/>
  <c r="D82" i="6"/>
  <c r="F82" i="6"/>
  <c r="I41" i="6"/>
  <c r="J42" i="6"/>
  <c r="I42" i="6"/>
  <c r="J43" i="6"/>
  <c r="I43" i="6"/>
  <c r="J44" i="6"/>
  <c r="I44" i="6"/>
  <c r="J45" i="6"/>
  <c r="I45" i="6"/>
  <c r="J46" i="6"/>
  <c r="I46" i="6"/>
  <c r="J47" i="6"/>
  <c r="I47" i="6"/>
  <c r="J48" i="6"/>
  <c r="I48" i="6"/>
  <c r="J49" i="6"/>
  <c r="I49" i="6"/>
  <c r="J50" i="6"/>
  <c r="C41" i="16"/>
  <c r="C42" i="16"/>
  <c r="C43" i="16"/>
  <c r="C44" i="16"/>
  <c r="C45" i="16"/>
  <c r="C46" i="16"/>
  <c r="C47" i="16"/>
  <c r="C48" i="16"/>
  <c r="I40" i="16"/>
  <c r="J41" i="16"/>
  <c r="I41" i="16"/>
  <c r="J42" i="16"/>
  <c r="I42" i="16"/>
  <c r="J43" i="16"/>
  <c r="I43" i="16"/>
  <c r="J44" i="16"/>
  <c r="I44" i="16"/>
  <c r="J45" i="16"/>
  <c r="I45" i="16"/>
  <c r="J46" i="16"/>
  <c r="I46" i="16"/>
  <c r="J47" i="16"/>
  <c r="I47" i="16"/>
  <c r="J48" i="16"/>
  <c r="L49" i="16"/>
  <c r="C39" i="16"/>
  <c r="AE17" i="8"/>
  <c r="C18" i="8"/>
  <c r="C86" i="8"/>
  <c r="F129" i="13"/>
  <c r="B129" i="13"/>
  <c r="I139" i="13"/>
  <c r="B138" i="13"/>
  <c r="B139" i="13"/>
  <c r="I138" i="13"/>
  <c r="C307" i="13"/>
  <c r="J139" i="13"/>
  <c r="J138" i="13"/>
  <c r="B6" i="21"/>
  <c r="AC159" i="13"/>
  <c r="B5" i="13"/>
  <c r="E18" i="8"/>
  <c r="D18" i="8"/>
  <c r="D19" i="8"/>
  <c r="E19" i="8"/>
  <c r="E41" i="8"/>
  <c r="F18" i="8"/>
  <c r="F19" i="8"/>
  <c r="F41" i="8"/>
  <c r="G18" i="8"/>
  <c r="G19" i="8"/>
  <c r="G41" i="8"/>
  <c r="H18" i="8"/>
  <c r="H19" i="8"/>
  <c r="H41" i="8"/>
  <c r="I18" i="8"/>
  <c r="I19" i="8"/>
  <c r="I41" i="8"/>
  <c r="J18" i="8"/>
  <c r="J19" i="8"/>
  <c r="J41" i="8"/>
  <c r="K18" i="8"/>
  <c r="K19" i="8"/>
  <c r="K41" i="8"/>
  <c r="L18" i="8"/>
  <c r="L19" i="8"/>
  <c r="L41" i="8"/>
  <c r="M18" i="8"/>
  <c r="M19" i="8"/>
  <c r="M41" i="8"/>
  <c r="N18" i="8"/>
  <c r="N19" i="8"/>
  <c r="N41" i="8"/>
  <c r="O18" i="8"/>
  <c r="O19" i="8"/>
  <c r="O41" i="8"/>
  <c r="P18" i="8"/>
  <c r="P19" i="8"/>
  <c r="P41" i="8"/>
  <c r="Q18" i="8"/>
  <c r="Q19" i="8"/>
  <c r="Q41" i="8"/>
  <c r="R18" i="8"/>
  <c r="R19" i="8"/>
  <c r="R41" i="8"/>
  <c r="S18" i="8"/>
  <c r="S19" i="8"/>
  <c r="S41" i="8"/>
  <c r="T18" i="8"/>
  <c r="T19" i="8"/>
  <c r="T41" i="8"/>
  <c r="U18" i="8"/>
  <c r="U19" i="8"/>
  <c r="U41" i="8"/>
  <c r="V18" i="8"/>
  <c r="V19" i="8"/>
  <c r="V41" i="8"/>
  <c r="W18" i="8"/>
  <c r="W19" i="8"/>
  <c r="W41" i="8"/>
  <c r="X18" i="8"/>
  <c r="X19" i="8"/>
  <c r="X41" i="8"/>
  <c r="Y18" i="8"/>
  <c r="Y19" i="8"/>
  <c r="Y41" i="8"/>
  <c r="Z18" i="8"/>
  <c r="Z19" i="8"/>
  <c r="Z41" i="8"/>
  <c r="AA18" i="8"/>
  <c r="AA19" i="8"/>
  <c r="AA41" i="8"/>
  <c r="AB18" i="8"/>
  <c r="AB19" i="8"/>
  <c r="AB41" i="8"/>
  <c r="AC18" i="8"/>
  <c r="AC19" i="8"/>
  <c r="AC41" i="8"/>
  <c r="AC110" i="8"/>
  <c r="B378" i="13"/>
  <c r="C372" i="13"/>
  <c r="AC369" i="13"/>
  <c r="AB317" i="13"/>
  <c r="AB369" i="13"/>
  <c r="AA317" i="13"/>
  <c r="AA369" i="13"/>
  <c r="Z317" i="13"/>
  <c r="Z369" i="13"/>
  <c r="Y317" i="13"/>
  <c r="Y369" i="13"/>
  <c r="X317" i="13"/>
  <c r="X369" i="13"/>
  <c r="W317" i="13"/>
  <c r="W369" i="13"/>
  <c r="V317" i="13"/>
  <c r="V369" i="13"/>
  <c r="U317" i="13"/>
  <c r="U369" i="13"/>
  <c r="T317" i="13"/>
  <c r="T369" i="13"/>
  <c r="S317" i="13"/>
  <c r="S369" i="13"/>
  <c r="R317" i="13"/>
  <c r="R369" i="13"/>
  <c r="Q317" i="13"/>
  <c r="Q369" i="13"/>
  <c r="P317" i="13"/>
  <c r="P369" i="13"/>
  <c r="O317" i="13"/>
  <c r="O369" i="13"/>
  <c r="N317" i="13"/>
  <c r="N369" i="13"/>
  <c r="M317" i="13"/>
  <c r="M369" i="13"/>
  <c r="L317" i="13"/>
  <c r="L369" i="13"/>
  <c r="K317" i="13"/>
  <c r="K369" i="13"/>
  <c r="J317" i="13"/>
  <c r="J369" i="13"/>
  <c r="I317" i="13"/>
  <c r="I369" i="13"/>
  <c r="H317" i="13"/>
  <c r="H369" i="13"/>
  <c r="G317" i="13"/>
  <c r="G368" i="13"/>
  <c r="F317" i="13"/>
  <c r="F368" i="13"/>
  <c r="E317" i="13"/>
  <c r="E368" i="13"/>
  <c r="D317" i="13"/>
  <c r="D368" i="13"/>
  <c r="C317" i="13"/>
  <c r="C368" i="13"/>
  <c r="AC304" i="13"/>
  <c r="C299" i="13"/>
  <c r="C300" i="13"/>
  <c r="C268" i="13"/>
  <c r="D269" i="13"/>
  <c r="D270" i="13"/>
  <c r="D271" i="13"/>
  <c r="C272" i="13"/>
  <c r="C284" i="13"/>
  <c r="C288" i="13"/>
  <c r="C287" i="13"/>
  <c r="C289" i="13"/>
  <c r="C290" i="13"/>
  <c r="AB268" i="13"/>
  <c r="AC269" i="13"/>
  <c r="AC270" i="13"/>
  <c r="AC271" i="13"/>
  <c r="AC272" i="13"/>
  <c r="AA268" i="13"/>
  <c r="AB269" i="13"/>
  <c r="AB270" i="13"/>
  <c r="AB271" i="13"/>
  <c r="AB272" i="13"/>
  <c r="Z268" i="13"/>
  <c r="AA269" i="13"/>
  <c r="AA270" i="13"/>
  <c r="AA271" i="13"/>
  <c r="AA272" i="13"/>
  <c r="Y268" i="13"/>
  <c r="Z269" i="13"/>
  <c r="Z270" i="13"/>
  <c r="Z271" i="13"/>
  <c r="Z272" i="13"/>
  <c r="X268" i="13"/>
  <c r="Y269" i="13"/>
  <c r="Y270" i="13"/>
  <c r="Y271" i="13"/>
  <c r="Y272" i="13"/>
  <c r="W268" i="13"/>
  <c r="X269" i="13"/>
  <c r="X270" i="13"/>
  <c r="X271" i="13"/>
  <c r="X272" i="13"/>
  <c r="V268" i="13"/>
  <c r="W269" i="13"/>
  <c r="W270" i="13"/>
  <c r="W271" i="13"/>
  <c r="W272" i="13"/>
  <c r="U268" i="13"/>
  <c r="V269" i="13"/>
  <c r="V270" i="13"/>
  <c r="V271" i="13"/>
  <c r="V272" i="13"/>
  <c r="T268" i="13"/>
  <c r="U269" i="13"/>
  <c r="U270" i="13"/>
  <c r="U271" i="13"/>
  <c r="U272" i="13"/>
  <c r="S268" i="13"/>
  <c r="T269" i="13"/>
  <c r="T270" i="13"/>
  <c r="T271" i="13"/>
  <c r="T272" i="13"/>
  <c r="R268" i="13"/>
  <c r="S269" i="13"/>
  <c r="S270" i="13"/>
  <c r="S271" i="13"/>
  <c r="S272" i="13"/>
  <c r="Q268" i="13"/>
  <c r="R269" i="13"/>
  <c r="R270" i="13"/>
  <c r="R271" i="13"/>
  <c r="R272" i="13"/>
  <c r="P268" i="13"/>
  <c r="Q269" i="13"/>
  <c r="Q270" i="13"/>
  <c r="Q271" i="13"/>
  <c r="Q272" i="13"/>
  <c r="O268" i="13"/>
  <c r="P269" i="13"/>
  <c r="P270" i="13"/>
  <c r="P271" i="13"/>
  <c r="P272" i="13"/>
  <c r="N268" i="13"/>
  <c r="O269" i="13"/>
  <c r="O270" i="13"/>
  <c r="O271" i="13"/>
  <c r="O272" i="13"/>
  <c r="M268" i="13"/>
  <c r="N269" i="13"/>
  <c r="N270" i="13"/>
  <c r="N271" i="13"/>
  <c r="N272" i="13"/>
  <c r="L268" i="13"/>
  <c r="M269" i="13"/>
  <c r="M270" i="13"/>
  <c r="M271" i="13"/>
  <c r="M272" i="13"/>
  <c r="K268" i="13"/>
  <c r="L269" i="13"/>
  <c r="L270" i="13"/>
  <c r="L271" i="13"/>
  <c r="L272" i="13"/>
  <c r="J268" i="13"/>
  <c r="K269" i="13"/>
  <c r="K270" i="13"/>
  <c r="K271" i="13"/>
  <c r="K272" i="13"/>
  <c r="I268" i="13"/>
  <c r="J269" i="13"/>
  <c r="J270" i="13"/>
  <c r="J271" i="13"/>
  <c r="J272" i="13"/>
  <c r="H268" i="13"/>
  <c r="I269" i="13"/>
  <c r="I270" i="13"/>
  <c r="I271" i="13"/>
  <c r="I272" i="13"/>
  <c r="G268" i="13"/>
  <c r="H269" i="13"/>
  <c r="H270" i="13"/>
  <c r="H271" i="13"/>
  <c r="H272" i="13"/>
  <c r="F268" i="13"/>
  <c r="G269" i="13"/>
  <c r="G270" i="13"/>
  <c r="G271" i="13"/>
  <c r="G272" i="13"/>
  <c r="E268" i="13"/>
  <c r="F269" i="13"/>
  <c r="F270" i="13"/>
  <c r="F271" i="13"/>
  <c r="F272" i="13"/>
  <c r="D268" i="13"/>
  <c r="E269" i="13"/>
  <c r="E270" i="13"/>
  <c r="E271" i="13"/>
  <c r="E272" i="13"/>
  <c r="D272" i="13"/>
  <c r="AC287" i="13"/>
  <c r="AB287" i="13"/>
  <c r="AA287" i="13"/>
  <c r="Z287" i="13"/>
  <c r="Y287" i="13"/>
  <c r="X287" i="13"/>
  <c r="W287" i="13"/>
  <c r="V287" i="13"/>
  <c r="U287" i="13"/>
  <c r="T287" i="13"/>
  <c r="S287" i="13"/>
  <c r="R287" i="13"/>
  <c r="Q287" i="13"/>
  <c r="P287" i="13"/>
  <c r="O287" i="13"/>
  <c r="N287" i="13"/>
  <c r="M287" i="13"/>
  <c r="L287" i="13"/>
  <c r="K287" i="13"/>
  <c r="J287" i="13"/>
  <c r="I287" i="13"/>
  <c r="H287" i="13"/>
  <c r="G287" i="13"/>
  <c r="F287" i="13"/>
  <c r="E287" i="13"/>
  <c r="D287" i="13"/>
  <c r="AC283" i="13"/>
  <c r="AB283" i="13"/>
  <c r="AA283" i="13"/>
  <c r="Z283" i="13"/>
  <c r="Y283" i="13"/>
  <c r="X283" i="13"/>
  <c r="W283" i="13"/>
  <c r="V283" i="13"/>
  <c r="U283" i="13"/>
  <c r="T283" i="13"/>
  <c r="S283" i="13"/>
  <c r="R283" i="13"/>
  <c r="Q283" i="13"/>
  <c r="P283" i="13"/>
  <c r="O283" i="13"/>
  <c r="N283" i="13"/>
  <c r="M283" i="13"/>
  <c r="L283" i="13"/>
  <c r="K283" i="13"/>
  <c r="J283" i="13"/>
  <c r="I283" i="13"/>
  <c r="H283" i="13"/>
  <c r="G283" i="13"/>
  <c r="F283" i="13"/>
  <c r="E283" i="13"/>
  <c r="D283" i="13"/>
  <c r="C283" i="13"/>
  <c r="AC282" i="13"/>
  <c r="AB282" i="13"/>
  <c r="AA282" i="13"/>
  <c r="Z282" i="13"/>
  <c r="Y282" i="13"/>
  <c r="X282" i="13"/>
  <c r="W282" i="13"/>
  <c r="V282" i="13"/>
  <c r="U282" i="13"/>
  <c r="T282" i="13"/>
  <c r="S282" i="13"/>
  <c r="R282" i="13"/>
  <c r="Q282" i="13"/>
  <c r="P282" i="13"/>
  <c r="O282" i="13"/>
  <c r="N282" i="13"/>
  <c r="M282" i="13"/>
  <c r="L282" i="13"/>
  <c r="K282" i="13"/>
  <c r="J282" i="13"/>
  <c r="I282" i="13"/>
  <c r="H282" i="13"/>
  <c r="E282" i="13"/>
  <c r="AC281" i="13"/>
  <c r="AB281" i="13"/>
  <c r="AA281" i="13"/>
  <c r="Z281" i="13"/>
  <c r="Y281" i="13"/>
  <c r="X281" i="13"/>
  <c r="W281" i="13"/>
  <c r="V281" i="13"/>
  <c r="U281" i="13"/>
  <c r="T281" i="13"/>
  <c r="S281" i="13"/>
  <c r="R281" i="13"/>
  <c r="Q281" i="13"/>
  <c r="P281" i="13"/>
  <c r="O281" i="13"/>
  <c r="N281" i="13"/>
  <c r="M281" i="13"/>
  <c r="L281" i="13"/>
  <c r="K281" i="13"/>
  <c r="J281" i="13"/>
  <c r="H281" i="13"/>
  <c r="E281" i="13"/>
  <c r="C275" i="13"/>
  <c r="C276" i="13"/>
  <c r="C277" i="13"/>
  <c r="C278" i="13"/>
  <c r="AC268" i="13"/>
  <c r="B260" i="13"/>
  <c r="AB229" i="13"/>
  <c r="AA229" i="13"/>
  <c r="Z229" i="13"/>
  <c r="Y229" i="13"/>
  <c r="X229" i="13"/>
  <c r="W229" i="13"/>
  <c r="V229" i="13"/>
  <c r="U229" i="13"/>
  <c r="T229" i="13"/>
  <c r="S229" i="13"/>
  <c r="R229" i="13"/>
  <c r="Q229" i="13"/>
  <c r="P229" i="13"/>
  <c r="O229" i="13"/>
  <c r="N229" i="13"/>
  <c r="M229" i="13"/>
  <c r="L229" i="13"/>
  <c r="K229" i="13"/>
  <c r="J229" i="13"/>
  <c r="I229" i="13"/>
  <c r="H229" i="13"/>
  <c r="G229" i="13"/>
  <c r="F229" i="13"/>
  <c r="E229" i="13"/>
  <c r="D229" i="13"/>
  <c r="C229" i="13"/>
  <c r="C180" i="13"/>
  <c r="D181" i="13"/>
  <c r="D182" i="13"/>
  <c r="D183" i="13"/>
  <c r="C184" i="13"/>
  <c r="AB180" i="13"/>
  <c r="AC181" i="13"/>
  <c r="AC182" i="13"/>
  <c r="AC183" i="13"/>
  <c r="AC184" i="13"/>
  <c r="AA180" i="13"/>
  <c r="AB181" i="13"/>
  <c r="AB182" i="13"/>
  <c r="AB183" i="13"/>
  <c r="AB184" i="13"/>
  <c r="Z180" i="13"/>
  <c r="AA181" i="13"/>
  <c r="AA182" i="13"/>
  <c r="AA183" i="13"/>
  <c r="AA184" i="13"/>
  <c r="Y180" i="13"/>
  <c r="Z181" i="13"/>
  <c r="Z182" i="13"/>
  <c r="Z183" i="13"/>
  <c r="Z184" i="13"/>
  <c r="X180" i="13"/>
  <c r="Y181" i="13"/>
  <c r="Y182" i="13"/>
  <c r="Y183" i="13"/>
  <c r="Y184" i="13"/>
  <c r="W180" i="13"/>
  <c r="X181" i="13"/>
  <c r="X182" i="13"/>
  <c r="X183" i="13"/>
  <c r="X184" i="13"/>
  <c r="V180" i="13"/>
  <c r="W181" i="13"/>
  <c r="W182" i="13"/>
  <c r="W183" i="13"/>
  <c r="W184" i="13"/>
  <c r="U180" i="13"/>
  <c r="V181" i="13"/>
  <c r="V182" i="13"/>
  <c r="V183" i="13"/>
  <c r="V184" i="13"/>
  <c r="T180" i="13"/>
  <c r="U181" i="13"/>
  <c r="U182" i="13"/>
  <c r="U183" i="13"/>
  <c r="U184" i="13"/>
  <c r="S180" i="13"/>
  <c r="T181" i="13"/>
  <c r="T182" i="13"/>
  <c r="T183" i="13"/>
  <c r="T184" i="13"/>
  <c r="R180" i="13"/>
  <c r="S181" i="13"/>
  <c r="S182" i="13"/>
  <c r="S183" i="13"/>
  <c r="S184" i="13"/>
  <c r="Q180" i="13"/>
  <c r="R181" i="13"/>
  <c r="R182" i="13"/>
  <c r="R183" i="13"/>
  <c r="R184" i="13"/>
  <c r="P180" i="13"/>
  <c r="Q181" i="13"/>
  <c r="Q182" i="13"/>
  <c r="Q183" i="13"/>
  <c r="Q184" i="13"/>
  <c r="O180" i="13"/>
  <c r="P181" i="13"/>
  <c r="P182" i="13"/>
  <c r="P183" i="13"/>
  <c r="P184" i="13"/>
  <c r="N180" i="13"/>
  <c r="O181" i="13"/>
  <c r="O182" i="13"/>
  <c r="O183" i="13"/>
  <c r="O184" i="13"/>
  <c r="M180" i="13"/>
  <c r="N181" i="13"/>
  <c r="N182" i="13"/>
  <c r="N183" i="13"/>
  <c r="N184" i="13"/>
  <c r="L180" i="13"/>
  <c r="M181" i="13"/>
  <c r="M182" i="13"/>
  <c r="M183" i="13"/>
  <c r="M184" i="13"/>
  <c r="K180" i="13"/>
  <c r="L181" i="13"/>
  <c r="L182" i="13"/>
  <c r="L183" i="13"/>
  <c r="L184" i="13"/>
  <c r="J180" i="13"/>
  <c r="K181" i="13"/>
  <c r="K182" i="13"/>
  <c r="K183" i="13"/>
  <c r="K184" i="13"/>
  <c r="I180" i="13"/>
  <c r="J181" i="13"/>
  <c r="J182" i="13"/>
  <c r="J183" i="13"/>
  <c r="J184" i="13"/>
  <c r="H180" i="13"/>
  <c r="I181" i="13"/>
  <c r="I182" i="13"/>
  <c r="I183" i="13"/>
  <c r="I184" i="13"/>
  <c r="G180" i="13"/>
  <c r="H181" i="13"/>
  <c r="H182" i="13"/>
  <c r="H183" i="13"/>
  <c r="H184" i="13"/>
  <c r="F180" i="13"/>
  <c r="G181" i="13"/>
  <c r="G182" i="13"/>
  <c r="G183" i="13"/>
  <c r="G184" i="13"/>
  <c r="E180" i="13"/>
  <c r="F181" i="13"/>
  <c r="F182" i="13"/>
  <c r="F183" i="13"/>
  <c r="F184" i="13"/>
  <c r="D180" i="13"/>
  <c r="E181" i="13"/>
  <c r="E182" i="13"/>
  <c r="E183" i="13"/>
  <c r="E184" i="13"/>
  <c r="D184" i="13"/>
  <c r="AC195" i="13"/>
  <c r="AB195" i="13"/>
  <c r="AA195" i="13"/>
  <c r="Z195" i="13"/>
  <c r="Y195" i="13"/>
  <c r="X195" i="13"/>
  <c r="W195" i="13"/>
  <c r="V195" i="13"/>
  <c r="U195" i="13"/>
  <c r="T195" i="13"/>
  <c r="S195" i="13"/>
  <c r="R195" i="13"/>
  <c r="Q195" i="13"/>
  <c r="P195" i="13"/>
  <c r="O195" i="13"/>
  <c r="N195" i="13"/>
  <c r="M195" i="13"/>
  <c r="L195" i="13"/>
  <c r="K195" i="13"/>
  <c r="J195" i="13"/>
  <c r="I195" i="13"/>
  <c r="H195" i="13"/>
  <c r="G195" i="13"/>
  <c r="F195" i="13"/>
  <c r="E195" i="13"/>
  <c r="D195" i="13"/>
  <c r="C195" i="13"/>
  <c r="AC194" i="13"/>
  <c r="AB194" i="13"/>
  <c r="AA194" i="13"/>
  <c r="Z194" i="13"/>
  <c r="Y194" i="13"/>
  <c r="X194" i="13"/>
  <c r="W194" i="13"/>
  <c r="V194" i="13"/>
  <c r="U194" i="13"/>
  <c r="T194" i="13"/>
  <c r="S194" i="13"/>
  <c r="R194" i="13"/>
  <c r="Q194" i="13"/>
  <c r="P194" i="13"/>
  <c r="O194" i="13"/>
  <c r="N194" i="13"/>
  <c r="M194" i="13"/>
  <c r="L194" i="13"/>
  <c r="K194" i="13"/>
  <c r="J194" i="13"/>
  <c r="I194" i="13"/>
  <c r="H194" i="13"/>
  <c r="G194" i="13"/>
  <c r="F194" i="13"/>
  <c r="E194" i="13"/>
  <c r="D194" i="13"/>
  <c r="C194" i="13"/>
  <c r="AC157" i="13"/>
  <c r="AC193" i="13"/>
  <c r="AB157" i="13"/>
  <c r="AB193" i="13"/>
  <c r="AA157" i="13"/>
  <c r="AA193" i="13"/>
  <c r="Z157" i="13"/>
  <c r="Z193" i="13"/>
  <c r="Y157" i="13"/>
  <c r="Y193" i="13"/>
  <c r="X157" i="13"/>
  <c r="X193" i="13"/>
  <c r="W157" i="13"/>
  <c r="W193" i="13"/>
  <c r="V157" i="13"/>
  <c r="V193" i="13"/>
  <c r="U157" i="13"/>
  <c r="U193" i="13"/>
  <c r="T157" i="13"/>
  <c r="T193" i="13"/>
  <c r="S157" i="13"/>
  <c r="S193" i="13"/>
  <c r="R157" i="13"/>
  <c r="R193" i="13"/>
  <c r="Q157" i="13"/>
  <c r="Q193" i="13"/>
  <c r="P157" i="13"/>
  <c r="P193" i="13"/>
  <c r="O157" i="13"/>
  <c r="O193" i="13"/>
  <c r="N157" i="13"/>
  <c r="N193" i="13"/>
  <c r="M157" i="13"/>
  <c r="M193" i="13"/>
  <c r="L157" i="13"/>
  <c r="L193" i="13"/>
  <c r="K157" i="13"/>
  <c r="K193" i="13"/>
  <c r="J157" i="13"/>
  <c r="J193" i="13"/>
  <c r="I157" i="13"/>
  <c r="I193" i="13"/>
  <c r="H157" i="13"/>
  <c r="H193" i="13"/>
  <c r="G157" i="13"/>
  <c r="G193" i="13"/>
  <c r="F157" i="13"/>
  <c r="F193" i="13"/>
  <c r="E157" i="13"/>
  <c r="E193" i="13"/>
  <c r="D157" i="13"/>
  <c r="D193" i="13"/>
  <c r="C193" i="13"/>
  <c r="C187" i="13"/>
  <c r="C188" i="13"/>
  <c r="C189" i="13"/>
  <c r="C190" i="13"/>
  <c r="AC180" i="13"/>
  <c r="B172" i="13"/>
  <c r="C150" i="13"/>
  <c r="D150" i="13"/>
  <c r="C149" i="13"/>
  <c r="D149" i="13"/>
  <c r="F131" i="13"/>
  <c r="J141" i="13"/>
  <c r="I141" i="13"/>
  <c r="F141" i="13"/>
  <c r="B131" i="13"/>
  <c r="D131" i="13"/>
  <c r="E141" i="13"/>
  <c r="B141" i="13"/>
  <c r="F130" i="13"/>
  <c r="J140" i="13"/>
  <c r="I140" i="13"/>
  <c r="F140" i="13"/>
  <c r="B130" i="13"/>
  <c r="D130" i="13"/>
  <c r="E140" i="13"/>
  <c r="B140" i="13"/>
  <c r="F139" i="13"/>
  <c r="D129" i="13"/>
  <c r="E139" i="13"/>
  <c r="F138" i="13"/>
  <c r="E138" i="13"/>
  <c r="G110" i="13"/>
  <c r="F110" i="13"/>
  <c r="E110" i="13"/>
  <c r="D110" i="13"/>
  <c r="C110" i="13"/>
  <c r="G109" i="13"/>
  <c r="F109" i="13"/>
  <c r="E109" i="13"/>
  <c r="D109" i="13"/>
  <c r="C109" i="13"/>
  <c r="B109" i="13"/>
  <c r="G108" i="13"/>
  <c r="F108" i="13"/>
  <c r="E108" i="13"/>
  <c r="D108" i="13"/>
  <c r="C108" i="13"/>
  <c r="B108" i="13"/>
  <c r="G107" i="13"/>
  <c r="F107" i="13"/>
  <c r="E107" i="13"/>
  <c r="D107" i="13"/>
  <c r="C107" i="13"/>
  <c r="B107" i="13"/>
  <c r="G106" i="13"/>
  <c r="F106" i="13"/>
  <c r="E106" i="13"/>
  <c r="D106" i="13"/>
  <c r="C106" i="13"/>
  <c r="B106" i="13"/>
  <c r="G105" i="13"/>
  <c r="F105" i="13"/>
  <c r="E105" i="13"/>
  <c r="D105" i="13"/>
  <c r="C105" i="13"/>
  <c r="B105" i="13"/>
  <c r="G104" i="13"/>
  <c r="F104" i="13"/>
  <c r="E104" i="13"/>
  <c r="D104" i="13"/>
  <c r="C104" i="13"/>
  <c r="B104" i="13"/>
  <c r="G103" i="13"/>
  <c r="F103" i="13"/>
  <c r="E103" i="13"/>
  <c r="D103" i="13"/>
  <c r="C103" i="13"/>
  <c r="B103" i="13"/>
  <c r="G102" i="13"/>
  <c r="F102" i="13"/>
  <c r="E102" i="13"/>
  <c r="D102" i="13"/>
  <c r="C102" i="13"/>
  <c r="B102" i="13"/>
  <c r="G101" i="13"/>
  <c r="F101" i="13"/>
  <c r="E101" i="13"/>
  <c r="D101" i="13"/>
  <c r="C101" i="13"/>
  <c r="B101" i="13"/>
  <c r="G100" i="13"/>
  <c r="F100" i="13"/>
  <c r="E100" i="13"/>
  <c r="D100" i="13"/>
  <c r="C100" i="13"/>
  <c r="B100" i="13"/>
  <c r="G99" i="13"/>
  <c r="F99" i="13"/>
  <c r="E99" i="13"/>
  <c r="D99" i="13"/>
  <c r="C99" i="13"/>
  <c r="B99" i="13"/>
  <c r="G98" i="13"/>
  <c r="F98" i="13"/>
  <c r="E98" i="13"/>
  <c r="D98" i="13"/>
  <c r="C98" i="13"/>
  <c r="B98" i="13"/>
  <c r="G97" i="13"/>
  <c r="F97" i="13"/>
  <c r="E97" i="13"/>
  <c r="D97" i="13"/>
  <c r="C97" i="13"/>
  <c r="B97" i="13"/>
  <c r="G96" i="13"/>
  <c r="F96" i="13"/>
  <c r="E96" i="13"/>
  <c r="D96" i="13"/>
  <c r="C96" i="13"/>
  <c r="B96" i="13"/>
  <c r="G95" i="13"/>
  <c r="F95" i="13"/>
  <c r="E95" i="13"/>
  <c r="D95" i="13"/>
  <c r="C95" i="13"/>
  <c r="B95" i="13"/>
  <c r="G94" i="13"/>
  <c r="F94" i="13"/>
  <c r="E94" i="13"/>
  <c r="D94" i="13"/>
  <c r="C94" i="13"/>
  <c r="B94" i="13"/>
  <c r="G93" i="13"/>
  <c r="F93" i="13"/>
  <c r="E93" i="13"/>
  <c r="D93" i="13"/>
  <c r="C93" i="13"/>
  <c r="B93" i="13"/>
  <c r="G92" i="13"/>
  <c r="F92" i="13"/>
  <c r="E92" i="13"/>
  <c r="D92" i="13"/>
  <c r="C92" i="13"/>
  <c r="B92" i="13"/>
  <c r="G91" i="13"/>
  <c r="F91" i="13"/>
  <c r="E91" i="13"/>
  <c r="D91" i="13"/>
  <c r="C91" i="13"/>
  <c r="B91" i="13"/>
  <c r="G90" i="13"/>
  <c r="F90" i="13"/>
  <c r="E90" i="13"/>
  <c r="D90" i="13"/>
  <c r="C90" i="13"/>
  <c r="B90" i="13"/>
  <c r="G89" i="13"/>
  <c r="F17" i="13"/>
  <c r="F89" i="13"/>
  <c r="E89" i="13"/>
  <c r="D89" i="13"/>
  <c r="C17" i="13"/>
  <c r="C89" i="13"/>
  <c r="M19" i="13"/>
  <c r="S19" i="13"/>
  <c r="M20" i="13"/>
  <c r="S20" i="13"/>
  <c r="M21" i="13"/>
  <c r="S21" i="13"/>
  <c r="M22" i="13"/>
  <c r="S22" i="13"/>
  <c r="M23" i="13"/>
  <c r="S23" i="13"/>
  <c r="M24" i="13"/>
  <c r="S24" i="13"/>
  <c r="M25" i="13"/>
  <c r="S25" i="13"/>
  <c r="M26" i="13"/>
  <c r="S26" i="13"/>
  <c r="M27" i="13"/>
  <c r="S27" i="13"/>
  <c r="M28" i="13"/>
  <c r="S28" i="13"/>
  <c r="M29" i="13"/>
  <c r="S29" i="13"/>
  <c r="M30" i="13"/>
  <c r="S30" i="13"/>
  <c r="M31" i="13"/>
  <c r="S31" i="13"/>
  <c r="M32" i="13"/>
  <c r="S32" i="13"/>
  <c r="M33" i="13"/>
  <c r="S33" i="13"/>
  <c r="M34" i="13"/>
  <c r="S34" i="13"/>
  <c r="M35" i="13"/>
  <c r="S35" i="13"/>
  <c r="M36" i="13"/>
  <c r="S36" i="13"/>
  <c r="M37" i="13"/>
  <c r="S37" i="13"/>
  <c r="M38" i="13"/>
  <c r="S38" i="13"/>
  <c r="F85" i="13"/>
  <c r="E85" i="13"/>
  <c r="D85" i="13"/>
  <c r="C85" i="13"/>
  <c r="L19" i="13"/>
  <c r="R19" i="13"/>
  <c r="L20" i="13"/>
  <c r="R20" i="13"/>
  <c r="L21" i="13"/>
  <c r="R21" i="13"/>
  <c r="L22" i="13"/>
  <c r="R22" i="13"/>
  <c r="L23" i="13"/>
  <c r="R23" i="13"/>
  <c r="L24" i="13"/>
  <c r="R24" i="13"/>
  <c r="L25" i="13"/>
  <c r="R25" i="13"/>
  <c r="L26" i="13"/>
  <c r="R26" i="13"/>
  <c r="L27" i="13"/>
  <c r="R27" i="13"/>
  <c r="L28" i="13"/>
  <c r="R28" i="13"/>
  <c r="L29" i="13"/>
  <c r="R29" i="13"/>
  <c r="L30" i="13"/>
  <c r="R30" i="13"/>
  <c r="L31" i="13"/>
  <c r="R31" i="13"/>
  <c r="L32" i="13"/>
  <c r="R32" i="13"/>
  <c r="L33" i="13"/>
  <c r="R33" i="13"/>
  <c r="L34" i="13"/>
  <c r="R34" i="13"/>
  <c r="L35" i="13"/>
  <c r="R35" i="13"/>
  <c r="L36" i="13"/>
  <c r="R36" i="13"/>
  <c r="L37" i="13"/>
  <c r="R37" i="13"/>
  <c r="L38" i="13"/>
  <c r="R38" i="13"/>
  <c r="F84" i="13"/>
  <c r="E84" i="13"/>
  <c r="D84" i="13"/>
  <c r="C84" i="13"/>
  <c r="D83" i="13"/>
  <c r="F82" i="13"/>
  <c r="E82" i="13"/>
  <c r="D82" i="13"/>
  <c r="F81" i="13"/>
  <c r="E81" i="13"/>
  <c r="B81" i="13" a="1"/>
  <c r="B81" i="13"/>
  <c r="B82" i="13"/>
  <c r="B83" i="13"/>
  <c r="B84" i="13"/>
  <c r="B85" i="13"/>
  <c r="F80" i="13"/>
  <c r="E80" i="13"/>
  <c r="L79" i="13"/>
  <c r="M79" i="13"/>
  <c r="F71" i="13"/>
  <c r="F77" i="13"/>
  <c r="E71" i="13"/>
  <c r="E77" i="13"/>
  <c r="K48" i="13"/>
  <c r="J48" i="13"/>
  <c r="I48" i="13"/>
  <c r="H48" i="13"/>
  <c r="B20" i="13"/>
  <c r="B21" i="13"/>
  <c r="B22" i="13"/>
  <c r="B23" i="13"/>
  <c r="B24" i="13"/>
  <c r="B25" i="13"/>
  <c r="B26" i="13"/>
  <c r="B27" i="13"/>
  <c r="B28" i="13"/>
  <c r="B29" i="13"/>
  <c r="B30" i="13"/>
  <c r="B31" i="13"/>
  <c r="B32" i="13"/>
  <c r="B33" i="13"/>
  <c r="B34" i="13"/>
  <c r="B35" i="13"/>
  <c r="B36" i="13"/>
  <c r="B37" i="13"/>
  <c r="B38" i="13"/>
  <c r="S17" i="13"/>
  <c r="R17" i="13"/>
  <c r="Q17" i="13"/>
  <c r="P17" i="13"/>
  <c r="O17" i="13"/>
  <c r="M17" i="13"/>
  <c r="L17" i="13"/>
  <c r="K17" i="13"/>
  <c r="J17" i="13"/>
  <c r="I17" i="13"/>
  <c r="D9" i="16"/>
  <c r="D8" i="16"/>
  <c r="E39" i="16"/>
  <c r="G39" i="16"/>
  <c r="E40" i="16"/>
  <c r="G40" i="16"/>
  <c r="E41" i="16"/>
  <c r="G41" i="16"/>
  <c r="E42" i="16"/>
  <c r="G42" i="16"/>
  <c r="E43" i="16"/>
  <c r="G43" i="16"/>
  <c r="E44" i="16"/>
  <c r="G44" i="16"/>
  <c r="E45" i="16"/>
  <c r="G45" i="16"/>
  <c r="E46" i="16"/>
  <c r="G46" i="16"/>
  <c r="E47" i="16"/>
  <c r="G47" i="16"/>
  <c r="E48" i="16"/>
  <c r="G48" i="16"/>
  <c r="I48" i="16"/>
  <c r="E8" i="16"/>
  <c r="E9" i="16"/>
  <c r="G24" i="16"/>
  <c r="D38" i="16"/>
  <c r="C83" i="8"/>
  <c r="AC83" i="8"/>
  <c r="G41" i="6"/>
  <c r="G42" i="6"/>
  <c r="G43" i="6"/>
  <c r="G44" i="6"/>
  <c r="G45" i="6"/>
  <c r="G46" i="6"/>
  <c r="G47" i="6"/>
  <c r="G48" i="6"/>
  <c r="G49" i="6"/>
  <c r="G50" i="6"/>
  <c r="I50" i="6"/>
  <c r="AC39" i="8"/>
  <c r="B80" i="11"/>
  <c r="B54" i="11"/>
  <c r="D132" i="11"/>
  <c r="C132" i="11"/>
  <c r="C130" i="11"/>
  <c r="F31" i="1"/>
  <c r="C18" i="11"/>
  <c r="D14" i="1"/>
  <c r="D14" i="11"/>
  <c r="E14" i="1"/>
  <c r="E14" i="11"/>
  <c r="F14" i="1"/>
  <c r="F14" i="11"/>
  <c r="G14" i="1"/>
  <c r="G14" i="11"/>
  <c r="H14" i="1"/>
  <c r="H14" i="11"/>
  <c r="I14" i="1"/>
  <c r="I14" i="11"/>
  <c r="J14" i="1"/>
  <c r="J14" i="11"/>
  <c r="K14" i="1"/>
  <c r="K14" i="11"/>
  <c r="L14" i="1"/>
  <c r="L14" i="11"/>
  <c r="M14" i="1"/>
  <c r="M14" i="11"/>
  <c r="N14" i="1"/>
  <c r="N14" i="11"/>
  <c r="O14" i="1"/>
  <c r="O14" i="11"/>
  <c r="P14" i="1"/>
  <c r="P14" i="11"/>
  <c r="Q14" i="1"/>
  <c r="Q14" i="11"/>
  <c r="R14" i="1"/>
  <c r="R14" i="11"/>
  <c r="S14" i="1"/>
  <c r="S14" i="11"/>
  <c r="T14" i="1"/>
  <c r="T14" i="11"/>
  <c r="U14" i="1"/>
  <c r="U14" i="11"/>
  <c r="V14" i="1"/>
  <c r="V14" i="11"/>
  <c r="W14" i="1"/>
  <c r="W14" i="11"/>
  <c r="X14" i="1"/>
  <c r="X14" i="11"/>
  <c r="Y14" i="1"/>
  <c r="Y14" i="11"/>
  <c r="Z14" i="1"/>
  <c r="Z14" i="11"/>
  <c r="AA14" i="1"/>
  <c r="AA14" i="11"/>
  <c r="AB14" i="1"/>
  <c r="AB14" i="11"/>
  <c r="AC14" i="1"/>
  <c r="AC14" i="11"/>
  <c r="C14" i="11"/>
  <c r="A33" i="18"/>
  <c r="M23" i="16"/>
  <c r="M24" i="16"/>
  <c r="M25" i="16"/>
  <c r="M26" i="16"/>
  <c r="M27" i="16"/>
  <c r="M28" i="16"/>
  <c r="M29" i="16"/>
  <c r="M30" i="16"/>
  <c r="M31" i="16"/>
  <c r="M32" i="16"/>
  <c r="M33" i="16"/>
  <c r="M34" i="16"/>
  <c r="M35" i="16"/>
  <c r="M36" i="16"/>
  <c r="M37" i="16"/>
  <c r="M38" i="16"/>
  <c r="M39" i="16"/>
  <c r="M40" i="16"/>
  <c r="M41" i="16"/>
  <c r="M42" i="16"/>
  <c r="M43" i="16"/>
  <c r="M44" i="16"/>
  <c r="M45" i="16"/>
  <c r="M46" i="16"/>
  <c r="M47" i="16"/>
  <c r="L22" i="16"/>
  <c r="M22" i="16"/>
  <c r="D55" i="16"/>
  <c r="D57" i="6"/>
  <c r="F57" i="6"/>
  <c r="F55" i="16"/>
  <c r="D12" i="1"/>
  <c r="D27" i="8"/>
  <c r="D104" i="8"/>
  <c r="E12" i="1"/>
  <c r="E27" i="8"/>
  <c r="E104" i="8"/>
  <c r="F12" i="1"/>
  <c r="F27" i="8"/>
  <c r="F104" i="8"/>
  <c r="G12" i="1"/>
  <c r="G27" i="8"/>
  <c r="G104" i="8"/>
  <c r="H12" i="1"/>
  <c r="H27" i="8"/>
  <c r="H104" i="8"/>
  <c r="I12" i="1"/>
  <c r="I27" i="8"/>
  <c r="I104" i="8"/>
  <c r="J12" i="1"/>
  <c r="J27" i="8"/>
  <c r="J104" i="8"/>
  <c r="K12" i="1"/>
  <c r="K27" i="8"/>
  <c r="K104" i="8"/>
  <c r="L12" i="1"/>
  <c r="L27" i="8"/>
  <c r="L104" i="8"/>
  <c r="M12" i="1"/>
  <c r="M27" i="8"/>
  <c r="M104" i="8"/>
  <c r="N12" i="1"/>
  <c r="N27" i="8"/>
  <c r="N104" i="8"/>
  <c r="O12" i="1"/>
  <c r="O27" i="8"/>
  <c r="O104" i="8"/>
  <c r="P12" i="1"/>
  <c r="P27" i="8"/>
  <c r="P104" i="8"/>
  <c r="Q12" i="1"/>
  <c r="Q27" i="8"/>
  <c r="Q104" i="8"/>
  <c r="R12" i="1"/>
  <c r="R27" i="8"/>
  <c r="R104" i="8"/>
  <c r="S12" i="1"/>
  <c r="S27" i="8"/>
  <c r="S104" i="8"/>
  <c r="T12" i="1"/>
  <c r="T27" i="8"/>
  <c r="T104" i="8"/>
  <c r="U12" i="1"/>
  <c r="U27" i="8"/>
  <c r="U104" i="8"/>
  <c r="V12" i="1"/>
  <c r="V27" i="8"/>
  <c r="V104" i="8"/>
  <c r="W12" i="1"/>
  <c r="W27" i="8"/>
  <c r="W104" i="8"/>
  <c r="X12" i="1"/>
  <c r="X27" i="8"/>
  <c r="X104" i="8"/>
  <c r="Y12" i="1"/>
  <c r="Y27" i="8"/>
  <c r="Y104" i="8"/>
  <c r="Z12" i="1"/>
  <c r="Z27" i="8"/>
  <c r="Z104" i="8"/>
  <c r="AA12" i="1"/>
  <c r="AA27" i="8"/>
  <c r="AA104" i="8"/>
  <c r="AB12" i="1"/>
  <c r="AB27" i="8"/>
  <c r="AB104" i="8"/>
  <c r="AC27" i="8"/>
  <c r="AC104" i="8"/>
  <c r="B27" i="8"/>
  <c r="B104" i="8"/>
  <c r="C12" i="1"/>
  <c r="C27" i="8"/>
  <c r="C104" i="8"/>
  <c r="B38" i="11"/>
  <c r="B63" i="11"/>
  <c r="B152" i="11"/>
  <c r="B153" i="11"/>
  <c r="A4" i="18" a="1"/>
  <c r="A28" i="18"/>
  <c r="AC17" i="8"/>
  <c r="C11" i="8"/>
  <c r="AC34" i="1"/>
  <c r="D34" i="1"/>
  <c r="F54" i="16"/>
  <c r="C14" i="16"/>
  <c r="G9" i="16"/>
  <c r="F9" i="16"/>
  <c r="E14" i="16"/>
  <c r="F8" i="16"/>
  <c r="G34" i="16"/>
  <c r="D25" i="6"/>
  <c r="K120" i="11"/>
  <c r="K15" i="17"/>
  <c r="B134" i="11"/>
  <c r="K112" i="11"/>
  <c r="K12" i="17"/>
  <c r="K38" i="17"/>
  <c r="J112" i="11"/>
  <c r="K11" i="17"/>
  <c r="K36" i="17"/>
  <c r="J120" i="11"/>
  <c r="K14" i="17"/>
  <c r="A15" i="18"/>
  <c r="A17" i="18"/>
  <c r="A11" i="18"/>
  <c r="A30" i="18"/>
  <c r="A8" i="18"/>
  <c r="A25" i="18"/>
  <c r="A5" i="18"/>
  <c r="A4" i="18"/>
  <c r="A24" i="18"/>
  <c r="A27" i="18"/>
  <c r="A9" i="18"/>
  <c r="A22" i="18"/>
  <c r="A10" i="18"/>
  <c r="A14" i="18"/>
  <c r="A21" i="18"/>
  <c r="A7" i="18"/>
  <c r="A20" i="18"/>
  <c r="A6" i="18"/>
  <c r="A18" i="18"/>
  <c r="A13" i="18"/>
  <c r="A19" i="18"/>
  <c r="A26" i="18"/>
  <c r="A23" i="18"/>
  <c r="A29" i="18"/>
  <c r="A16" i="18"/>
  <c r="A12" i="18"/>
  <c r="G55" i="16"/>
  <c r="P32" i="16"/>
  <c r="P25" i="16"/>
  <c r="G32" i="16"/>
  <c r="G25" i="16"/>
  <c r="P26" i="16"/>
  <c r="P33" i="16"/>
  <c r="N46" i="16"/>
  <c r="O46" i="16"/>
  <c r="Q46" i="16"/>
  <c r="P27" i="16"/>
  <c r="P34" i="16"/>
  <c r="P28" i="16"/>
  <c r="P35" i="16"/>
  <c r="N38" i="16"/>
  <c r="O38" i="16"/>
  <c r="Q38" i="16"/>
  <c r="P29" i="16"/>
  <c r="N35" i="16"/>
  <c r="O35" i="16"/>
  <c r="Q35" i="16"/>
  <c r="P30" i="16"/>
  <c r="N36" i="16"/>
  <c r="O36" i="16"/>
  <c r="Q36" i="16"/>
  <c r="P24" i="16"/>
  <c r="P31" i="16"/>
  <c r="G28" i="16"/>
  <c r="C38" i="16"/>
  <c r="G33" i="16"/>
  <c r="G29" i="16"/>
  <c r="G31" i="16"/>
  <c r="G27" i="16"/>
  <c r="G26" i="16"/>
  <c r="G30" i="16"/>
  <c r="N22" i="16"/>
  <c r="O22" i="16"/>
  <c r="Q22" i="16"/>
  <c r="N40" i="16"/>
  <c r="O40" i="16"/>
  <c r="Q40" i="16"/>
  <c r="N37" i="16"/>
  <c r="O37" i="16"/>
  <c r="Q37" i="16"/>
  <c r="N33" i="16"/>
  <c r="O33" i="16"/>
  <c r="Q33" i="16"/>
  <c r="N30" i="16"/>
  <c r="O30" i="16"/>
  <c r="Q30" i="16"/>
  <c r="N27" i="16"/>
  <c r="O27" i="16"/>
  <c r="Q27" i="16"/>
  <c r="N24" i="16"/>
  <c r="O24" i="16"/>
  <c r="Q24" i="16"/>
  <c r="N32" i="16"/>
  <c r="O32" i="16"/>
  <c r="Q32" i="16"/>
  <c r="N29" i="16"/>
  <c r="O29" i="16"/>
  <c r="Q29" i="16"/>
  <c r="N26" i="16"/>
  <c r="O26" i="16"/>
  <c r="Q26" i="16"/>
  <c r="N23" i="16"/>
  <c r="O23" i="16"/>
  <c r="Q23" i="16"/>
  <c r="N47" i="16"/>
  <c r="O47" i="16"/>
  <c r="Q47" i="16"/>
  <c r="N45" i="16"/>
  <c r="O45" i="16"/>
  <c r="Q45" i="16"/>
  <c r="N43" i="16"/>
  <c r="O43" i="16"/>
  <c r="Q43" i="16"/>
  <c r="N41" i="16"/>
  <c r="O41" i="16"/>
  <c r="Q41" i="16"/>
  <c r="N39" i="16"/>
  <c r="O39" i="16"/>
  <c r="Q39" i="16"/>
  <c r="N34" i="16"/>
  <c r="O34" i="16"/>
  <c r="Q34" i="16"/>
  <c r="N31" i="16"/>
  <c r="O31" i="16"/>
  <c r="Q31" i="16"/>
  <c r="N28" i="16"/>
  <c r="O28" i="16"/>
  <c r="Q28" i="16"/>
  <c r="N25" i="16"/>
  <c r="O25" i="16"/>
  <c r="Q25" i="16"/>
  <c r="F14" i="16"/>
  <c r="E15" i="16"/>
  <c r="N42" i="16"/>
  <c r="O42" i="16"/>
  <c r="Q42" i="16"/>
  <c r="N44" i="16"/>
  <c r="O44" i="16"/>
  <c r="Q44" i="16"/>
  <c r="R32" i="16"/>
  <c r="R31" i="16"/>
  <c r="R30" i="16"/>
  <c r="R26" i="16"/>
  <c r="R25" i="16"/>
  <c r="R34" i="16"/>
  <c r="P42" i="16"/>
  <c r="R42" i="16"/>
  <c r="P47" i="16"/>
  <c r="R47" i="16"/>
  <c r="G14" i="16"/>
  <c r="F15" i="16"/>
  <c r="P44" i="16"/>
  <c r="R44" i="16"/>
  <c r="P37" i="16"/>
  <c r="R37" i="16"/>
  <c r="P45" i="16"/>
  <c r="R45" i="16"/>
  <c r="R28" i="16"/>
  <c r="R24" i="16"/>
  <c r="P46" i="16"/>
  <c r="R46" i="16"/>
  <c r="R35" i="16"/>
  <c r="P36" i="16"/>
  <c r="R36" i="16"/>
  <c r="P38" i="16"/>
  <c r="R38" i="16"/>
  <c r="R33" i="16"/>
  <c r="P39" i="16"/>
  <c r="R39" i="16"/>
  <c r="P40" i="16"/>
  <c r="R40" i="16"/>
  <c r="P41" i="16"/>
  <c r="R41" i="16"/>
  <c r="R22" i="16"/>
  <c r="P23" i="16"/>
  <c r="R23" i="16"/>
  <c r="S23" i="16"/>
  <c r="P43" i="16"/>
  <c r="R43" i="16"/>
  <c r="R29" i="16"/>
  <c r="R27" i="16"/>
  <c r="C78" i="8"/>
  <c r="C79" i="8"/>
  <c r="E40" i="8"/>
  <c r="D40" i="8"/>
  <c r="F66" i="8"/>
  <c r="G40" i="8"/>
  <c r="H40" i="8"/>
  <c r="I40" i="8"/>
  <c r="J66" i="8"/>
  <c r="K40" i="8"/>
  <c r="L40" i="8"/>
  <c r="M40" i="8"/>
  <c r="N40" i="8"/>
  <c r="O40" i="8"/>
  <c r="P40" i="8"/>
  <c r="Q40" i="8"/>
  <c r="R66" i="8"/>
  <c r="S40" i="8"/>
  <c r="U66" i="8"/>
  <c r="V40" i="8"/>
  <c r="W66" i="8"/>
  <c r="X40" i="8"/>
  <c r="Y66" i="8"/>
  <c r="Z40" i="8"/>
  <c r="AB40" i="8"/>
  <c r="AA40" i="8"/>
  <c r="F12" i="6"/>
  <c r="K34" i="1"/>
  <c r="H22" i="7"/>
  <c r="H33" i="7"/>
  <c r="H21" i="7"/>
  <c r="H26" i="7"/>
  <c r="H32" i="7"/>
  <c r="H31" i="7"/>
  <c r="H27" i="7"/>
  <c r="G27" i="7"/>
  <c r="G26" i="7"/>
  <c r="H25" i="7"/>
  <c r="G25" i="7"/>
  <c r="A33" i="10"/>
  <c r="C11" i="9"/>
  <c r="D96" i="8"/>
  <c r="D11" i="11"/>
  <c r="D38" i="11"/>
  <c r="D63" i="11"/>
  <c r="E96" i="8"/>
  <c r="E11" i="11"/>
  <c r="E38" i="11"/>
  <c r="E63" i="11"/>
  <c r="F96" i="8"/>
  <c r="F11" i="11"/>
  <c r="F38" i="11"/>
  <c r="F63" i="11"/>
  <c r="G96" i="8"/>
  <c r="G11" i="11"/>
  <c r="G38" i="11"/>
  <c r="G63" i="11"/>
  <c r="H96" i="8"/>
  <c r="H11" i="11"/>
  <c r="H38" i="11"/>
  <c r="H63" i="11"/>
  <c r="I96" i="8"/>
  <c r="I11" i="11"/>
  <c r="I38" i="11"/>
  <c r="I63" i="11"/>
  <c r="J96" i="8"/>
  <c r="J11" i="11"/>
  <c r="J38" i="11"/>
  <c r="J63" i="11"/>
  <c r="K96" i="8"/>
  <c r="K11" i="11"/>
  <c r="K38" i="11"/>
  <c r="K63" i="11"/>
  <c r="L96" i="8"/>
  <c r="L11" i="11"/>
  <c r="L38" i="11"/>
  <c r="L63" i="11"/>
  <c r="M96" i="8"/>
  <c r="M11" i="11"/>
  <c r="M38" i="11"/>
  <c r="M63" i="11"/>
  <c r="N96" i="8"/>
  <c r="N11" i="11"/>
  <c r="N38" i="11"/>
  <c r="N63" i="11"/>
  <c r="O96" i="8"/>
  <c r="O11" i="11"/>
  <c r="O38" i="11"/>
  <c r="O63" i="11"/>
  <c r="P96" i="8"/>
  <c r="P11" i="11"/>
  <c r="P38" i="11"/>
  <c r="P63" i="11"/>
  <c r="Q96" i="8"/>
  <c r="Q11" i="11"/>
  <c r="Q38" i="11"/>
  <c r="Q63" i="11"/>
  <c r="R96" i="8"/>
  <c r="R11" i="11"/>
  <c r="R38" i="11"/>
  <c r="R63" i="11"/>
  <c r="S96" i="8"/>
  <c r="S11" i="11"/>
  <c r="S38" i="11"/>
  <c r="S63" i="11"/>
  <c r="T96" i="8"/>
  <c r="T11" i="11"/>
  <c r="T38" i="11"/>
  <c r="T63" i="11"/>
  <c r="U96" i="8"/>
  <c r="U11" i="11"/>
  <c r="U38" i="11"/>
  <c r="U63" i="11"/>
  <c r="V96" i="8"/>
  <c r="V11" i="11"/>
  <c r="V38" i="11"/>
  <c r="V63" i="11"/>
  <c r="W96" i="8"/>
  <c r="W11" i="11"/>
  <c r="W38" i="11"/>
  <c r="W63" i="11"/>
  <c r="X96" i="8"/>
  <c r="X11" i="11"/>
  <c r="X38" i="11"/>
  <c r="X63" i="11"/>
  <c r="Y96" i="8"/>
  <c r="Y11" i="11"/>
  <c r="Y38" i="11"/>
  <c r="Y63" i="11"/>
  <c r="Z96" i="8"/>
  <c r="Z11" i="11"/>
  <c r="Z38" i="11"/>
  <c r="Z63" i="11"/>
  <c r="AA96" i="8"/>
  <c r="AA11" i="11"/>
  <c r="AA38" i="11"/>
  <c r="AA63" i="11"/>
  <c r="AB96" i="8"/>
  <c r="AB11" i="11"/>
  <c r="AB38" i="11"/>
  <c r="AB63" i="11"/>
  <c r="AC11" i="11"/>
  <c r="AC38" i="11"/>
  <c r="AC63" i="11"/>
  <c r="C96" i="8"/>
  <c r="C11" i="11"/>
  <c r="C38" i="11"/>
  <c r="C63" i="11"/>
  <c r="B11" i="9"/>
  <c r="A11" i="9"/>
  <c r="D61" i="8"/>
  <c r="E61" i="8"/>
  <c r="F61" i="8"/>
  <c r="G61" i="8"/>
  <c r="H61" i="8"/>
  <c r="I61" i="8"/>
  <c r="J61" i="8"/>
  <c r="K61" i="8"/>
  <c r="L61" i="8"/>
  <c r="M61" i="8"/>
  <c r="N61" i="8"/>
  <c r="O61" i="8"/>
  <c r="P61" i="8"/>
  <c r="Q61" i="8"/>
  <c r="R61" i="8"/>
  <c r="S61" i="8"/>
  <c r="T61" i="8"/>
  <c r="U61" i="8"/>
  <c r="V61" i="8"/>
  <c r="W61" i="8"/>
  <c r="X61" i="8"/>
  <c r="Y61" i="8"/>
  <c r="Z61" i="8"/>
  <c r="AA61" i="8"/>
  <c r="AB61" i="8"/>
  <c r="AC61" i="8"/>
  <c r="D62" i="8"/>
  <c r="E62" i="8"/>
  <c r="F62" i="8"/>
  <c r="G62" i="8"/>
  <c r="H62" i="8"/>
  <c r="I62" i="8"/>
  <c r="J62" i="8"/>
  <c r="K62" i="8"/>
  <c r="L62" i="8"/>
  <c r="M62" i="8"/>
  <c r="N62" i="8"/>
  <c r="O62" i="8"/>
  <c r="P62" i="8"/>
  <c r="Q62" i="8"/>
  <c r="R62" i="8"/>
  <c r="S62" i="8"/>
  <c r="T62" i="8"/>
  <c r="U62" i="8"/>
  <c r="V62" i="8"/>
  <c r="W62" i="8"/>
  <c r="X62" i="8"/>
  <c r="Y62" i="8"/>
  <c r="Z62" i="8"/>
  <c r="AA62" i="8"/>
  <c r="AB62" i="8"/>
  <c r="C61" i="8"/>
  <c r="C62" i="8"/>
  <c r="C60" i="8"/>
  <c r="B39" i="8"/>
  <c r="E15" i="8"/>
  <c r="E60" i="8"/>
  <c r="F15" i="8"/>
  <c r="F60" i="8"/>
  <c r="G15" i="8"/>
  <c r="G60" i="8"/>
  <c r="H15" i="8"/>
  <c r="H60" i="8"/>
  <c r="I15" i="8"/>
  <c r="I60" i="8"/>
  <c r="J15" i="8"/>
  <c r="J60" i="8"/>
  <c r="K15" i="8"/>
  <c r="K60" i="8"/>
  <c r="L15" i="8"/>
  <c r="L60" i="8"/>
  <c r="M15" i="8"/>
  <c r="M60" i="8"/>
  <c r="N15" i="8"/>
  <c r="N60" i="8"/>
  <c r="O15" i="8"/>
  <c r="O60" i="8"/>
  <c r="P15" i="8"/>
  <c r="P60" i="8"/>
  <c r="Q15" i="8"/>
  <c r="Q60" i="8"/>
  <c r="R15" i="8"/>
  <c r="R60" i="8"/>
  <c r="S15" i="8"/>
  <c r="S60" i="8"/>
  <c r="T15" i="8"/>
  <c r="T60" i="8"/>
  <c r="U15" i="8"/>
  <c r="U60" i="8"/>
  <c r="V15" i="8"/>
  <c r="V60" i="8"/>
  <c r="W15" i="8"/>
  <c r="W60" i="8"/>
  <c r="X15" i="8"/>
  <c r="X60" i="8"/>
  <c r="Y15" i="8"/>
  <c r="Y60" i="8"/>
  <c r="Z15" i="8"/>
  <c r="Z60" i="8"/>
  <c r="AA15" i="8"/>
  <c r="AA60" i="8"/>
  <c r="AB15" i="8"/>
  <c r="AB60" i="8"/>
  <c r="AC15" i="8"/>
  <c r="AC60" i="8"/>
  <c r="D15" i="8"/>
  <c r="D60" i="8"/>
  <c r="C20" i="8"/>
  <c r="AC62" i="8"/>
  <c r="C16" i="6"/>
  <c r="F11" i="6"/>
  <c r="L3" i="7"/>
  <c r="L4" i="7"/>
  <c r="L5" i="7"/>
  <c r="L6" i="7"/>
  <c r="L7" i="7"/>
  <c r="L8" i="7"/>
  <c r="L9" i="7"/>
  <c r="L10" i="7"/>
  <c r="L11" i="7"/>
  <c r="L12" i="7"/>
  <c r="L13" i="7"/>
  <c r="L14" i="7"/>
  <c r="L15" i="7"/>
  <c r="L16" i="7"/>
  <c r="L17" i="7"/>
  <c r="L18" i="7"/>
  <c r="L19" i="7"/>
  <c r="L20" i="7"/>
  <c r="L21" i="7"/>
  <c r="L22" i="7"/>
  <c r="L23" i="7"/>
  <c r="L24" i="7"/>
  <c r="L25" i="7"/>
  <c r="L26" i="7"/>
  <c r="L27" i="7"/>
  <c r="L28" i="7"/>
  <c r="L29" i="7"/>
  <c r="L30" i="7"/>
  <c r="L31" i="7"/>
  <c r="L32" i="7"/>
  <c r="L2" i="7"/>
  <c r="K3" i="7"/>
  <c r="K4" i="7"/>
  <c r="K5" i="7"/>
  <c r="K6" i="7"/>
  <c r="K7" i="7"/>
  <c r="K8" i="7"/>
  <c r="K9" i="7"/>
  <c r="K10" i="7"/>
  <c r="K11" i="7"/>
  <c r="K12" i="7"/>
  <c r="K13" i="7"/>
  <c r="K14" i="7"/>
  <c r="K15" i="7"/>
  <c r="K16" i="7"/>
  <c r="K17" i="7"/>
  <c r="K18" i="7"/>
  <c r="K19" i="7"/>
  <c r="K20" i="7"/>
  <c r="K21" i="7"/>
  <c r="K22" i="7"/>
  <c r="K23" i="7"/>
  <c r="K24" i="7"/>
  <c r="K25" i="7"/>
  <c r="K26" i="7"/>
  <c r="K27" i="7"/>
  <c r="K28" i="7"/>
  <c r="K29" i="7"/>
  <c r="K30" i="7"/>
  <c r="K31" i="7"/>
  <c r="K32" i="7"/>
  <c r="K2" i="7"/>
  <c r="H3" i="7"/>
  <c r="H8" i="7"/>
  <c r="H4" i="7"/>
  <c r="H15" i="7"/>
  <c r="H9" i="7"/>
  <c r="H7" i="7"/>
  <c r="G8" i="7"/>
  <c r="G9" i="7"/>
  <c r="G7" i="7"/>
  <c r="G12" i="6"/>
  <c r="E11" i="6"/>
  <c r="E12" i="6"/>
  <c r="E16" i="6"/>
  <c r="H14" i="7"/>
  <c r="H13" i="7"/>
  <c r="P2" i="9"/>
  <c r="X66" i="8"/>
  <c r="O66" i="8"/>
  <c r="M34" i="1"/>
  <c r="L34" i="1"/>
  <c r="AA34" i="1"/>
  <c r="S34" i="1"/>
  <c r="Z34" i="1"/>
  <c r="R34" i="1"/>
  <c r="Y34" i="1"/>
  <c r="Q34" i="1"/>
  <c r="J34" i="1"/>
  <c r="U34" i="1"/>
  <c r="F34" i="1"/>
  <c r="AB34" i="1"/>
  <c r="T34" i="1"/>
  <c r="X34" i="1"/>
  <c r="P34" i="1"/>
  <c r="I34" i="1"/>
  <c r="C34" i="1"/>
  <c r="W34" i="1"/>
  <c r="O34" i="1"/>
  <c r="H34" i="1"/>
  <c r="V34" i="1"/>
  <c r="N34" i="1"/>
  <c r="G34" i="1"/>
  <c r="E34" i="1"/>
  <c r="Y40" i="8"/>
  <c r="J40" i="8"/>
  <c r="Z66" i="8"/>
  <c r="P66" i="8"/>
  <c r="M66" i="8"/>
  <c r="D66" i="8"/>
  <c r="K66" i="8"/>
  <c r="G66" i="8"/>
  <c r="U40" i="8"/>
  <c r="W40" i="8"/>
  <c r="S24" i="16"/>
  <c r="D56" i="16"/>
  <c r="F56" i="16"/>
  <c r="G15" i="16"/>
  <c r="H14" i="16"/>
  <c r="R40" i="8"/>
  <c r="N66" i="8"/>
  <c r="F40" i="8"/>
  <c r="V66" i="8"/>
  <c r="H66" i="8"/>
  <c r="AB66" i="8"/>
  <c r="AC66" i="8"/>
  <c r="S66" i="8"/>
  <c r="AA66" i="8"/>
  <c r="E66" i="8"/>
  <c r="G31" i="6"/>
  <c r="G32" i="6"/>
  <c r="G33" i="6"/>
  <c r="G34" i="6"/>
  <c r="G35" i="6"/>
  <c r="G28" i="6"/>
  <c r="G36" i="6"/>
  <c r="G29" i="6"/>
  <c r="G30" i="6"/>
  <c r="G27" i="6"/>
  <c r="T40" i="8"/>
  <c r="C40" i="8"/>
  <c r="Q66" i="8"/>
  <c r="I66" i="8"/>
  <c r="C66" i="8"/>
  <c r="T66" i="8"/>
  <c r="L66" i="8"/>
  <c r="F16" i="6"/>
  <c r="E17" i="6"/>
  <c r="G26" i="6"/>
  <c r="G56" i="16"/>
  <c r="G57" i="6"/>
  <c r="H15" i="16"/>
  <c r="I14" i="16"/>
  <c r="S25" i="16"/>
  <c r="D57" i="16"/>
  <c r="F57" i="16"/>
  <c r="G57" i="16"/>
  <c r="AC40" i="8"/>
  <c r="D40" i="6"/>
  <c r="C40" i="6"/>
  <c r="N24" i="6"/>
  <c r="O24" i="6"/>
  <c r="Q24" i="6"/>
  <c r="G16" i="6"/>
  <c r="F17" i="6"/>
  <c r="S26" i="16"/>
  <c r="D58" i="16"/>
  <c r="F58" i="16"/>
  <c r="I15" i="16"/>
  <c r="J14" i="16"/>
  <c r="R24" i="6"/>
  <c r="D41" i="8"/>
  <c r="H16" i="6"/>
  <c r="G17" i="6"/>
  <c r="G58" i="16"/>
  <c r="K14" i="16"/>
  <c r="J15" i="16"/>
  <c r="S27" i="16"/>
  <c r="D59" i="16"/>
  <c r="F59" i="16"/>
  <c r="G59" i="16"/>
  <c r="G58" i="6"/>
  <c r="I16" i="6"/>
  <c r="H17" i="6"/>
  <c r="AC15" i="11"/>
  <c r="S28" i="16"/>
  <c r="D60" i="16"/>
  <c r="F60" i="16"/>
  <c r="G60" i="16"/>
  <c r="L14" i="16"/>
  <c r="K15" i="16"/>
  <c r="G59" i="6"/>
  <c r="J16" i="6"/>
  <c r="I17" i="6"/>
  <c r="M14" i="16"/>
  <c r="L15" i="16"/>
  <c r="S29" i="16"/>
  <c r="D61" i="16"/>
  <c r="F61" i="16"/>
  <c r="G60" i="6"/>
  <c r="K16" i="6"/>
  <c r="J17" i="6"/>
  <c r="G61" i="16"/>
  <c r="S30" i="16"/>
  <c r="D62" i="16"/>
  <c r="F62" i="16"/>
  <c r="G62" i="16"/>
  <c r="N14" i="16"/>
  <c r="M15" i="16"/>
  <c r="G61" i="6"/>
  <c r="L16" i="6"/>
  <c r="K17" i="6"/>
  <c r="O14" i="16"/>
  <c r="N15" i="16"/>
  <c r="S31" i="16"/>
  <c r="D63" i="16"/>
  <c r="F63" i="16"/>
  <c r="G63" i="16"/>
  <c r="G62" i="6"/>
  <c r="M16" i="6"/>
  <c r="L17" i="6"/>
  <c r="S32" i="16"/>
  <c r="D64" i="16"/>
  <c r="F64" i="16"/>
  <c r="G64" i="16"/>
  <c r="O15" i="16"/>
  <c r="P14" i="16"/>
  <c r="G63" i="6"/>
  <c r="N16" i="6"/>
  <c r="M17" i="6"/>
  <c r="P15" i="16"/>
  <c r="Q14" i="16"/>
  <c r="S33" i="16"/>
  <c r="D65" i="16"/>
  <c r="F65" i="16"/>
  <c r="G65" i="16"/>
  <c r="G64" i="6"/>
  <c r="N17" i="6"/>
  <c r="O16" i="6"/>
  <c r="S34" i="16"/>
  <c r="D66" i="16"/>
  <c r="F66" i="16"/>
  <c r="G66" i="16"/>
  <c r="Q15" i="16"/>
  <c r="R14" i="16"/>
  <c r="G65" i="6"/>
  <c r="O17" i="6"/>
  <c r="P16" i="6"/>
  <c r="S14" i="16"/>
  <c r="R15" i="16"/>
  <c r="S35" i="16"/>
  <c r="D67" i="16"/>
  <c r="F67" i="16"/>
  <c r="G67" i="16"/>
  <c r="G66" i="6"/>
  <c r="P17" i="6"/>
  <c r="Q16" i="6"/>
  <c r="D68" i="16"/>
  <c r="F68" i="16"/>
  <c r="G68" i="16"/>
  <c r="S36" i="16"/>
  <c r="T14" i="16"/>
  <c r="S15" i="16"/>
  <c r="G67" i="6"/>
  <c r="R16" i="6"/>
  <c r="Q17" i="6"/>
  <c r="U14" i="16"/>
  <c r="T15" i="16"/>
  <c r="S37" i="16"/>
  <c r="D69" i="16"/>
  <c r="F69" i="16"/>
  <c r="G69" i="16"/>
  <c r="G68" i="6"/>
  <c r="R17" i="6"/>
  <c r="S16" i="6"/>
  <c r="S38" i="16"/>
  <c r="D70" i="16"/>
  <c r="F70" i="16"/>
  <c r="G70" i="16"/>
  <c r="V14" i="16"/>
  <c r="U15" i="16"/>
  <c r="G69" i="6"/>
  <c r="T16" i="6"/>
  <c r="S17" i="6"/>
  <c r="W14" i="16"/>
  <c r="V15" i="16"/>
  <c r="D71" i="16"/>
  <c r="F71" i="16"/>
  <c r="G71" i="16"/>
  <c r="S39" i="16"/>
  <c r="S40" i="16"/>
  <c r="S41" i="16"/>
  <c r="S42" i="16"/>
  <c r="S43" i="16"/>
  <c r="S44" i="16"/>
  <c r="S45" i="16"/>
  <c r="S46" i="16"/>
  <c r="S47" i="16"/>
  <c r="D80" i="16"/>
  <c r="G70" i="6"/>
  <c r="T17" i="6"/>
  <c r="U16" i="6"/>
  <c r="D72" i="16"/>
  <c r="F72" i="16"/>
  <c r="G72" i="16"/>
  <c r="W15" i="16"/>
  <c r="X14" i="16"/>
  <c r="G71" i="6"/>
  <c r="V16" i="6"/>
  <c r="U17" i="6"/>
  <c r="X15" i="16"/>
  <c r="Y14" i="16"/>
  <c r="D73" i="16"/>
  <c r="F73" i="16"/>
  <c r="G73" i="16"/>
  <c r="G72" i="6"/>
  <c r="W16" i="6"/>
  <c r="V17" i="6"/>
  <c r="D74" i="16"/>
  <c r="F74" i="16"/>
  <c r="G74" i="16"/>
  <c r="Y15" i="16"/>
  <c r="Z14" i="16"/>
  <c r="G73" i="6"/>
  <c r="X16" i="6"/>
  <c r="W17" i="6"/>
  <c r="AA14" i="16"/>
  <c r="Z15" i="16"/>
  <c r="D75" i="16"/>
  <c r="F75" i="16"/>
  <c r="G75" i="16"/>
  <c r="G74" i="6"/>
  <c r="Y16" i="6"/>
  <c r="X17" i="6"/>
  <c r="D76" i="16"/>
  <c r="F76" i="16"/>
  <c r="G76" i="16"/>
  <c r="AB14" i="16"/>
  <c r="AA15" i="16"/>
  <c r="G75" i="6"/>
  <c r="Z16" i="6"/>
  <c r="Y17" i="6"/>
  <c r="AC14" i="16"/>
  <c r="AB15" i="16"/>
  <c r="D77" i="16"/>
  <c r="F77" i="16"/>
  <c r="G77" i="16"/>
  <c r="G76" i="6"/>
  <c r="AA16" i="6"/>
  <c r="Z17" i="6"/>
  <c r="D78" i="16"/>
  <c r="F78" i="16"/>
  <c r="G78" i="16"/>
  <c r="AD14" i="16"/>
  <c r="AC15" i="16"/>
  <c r="G77" i="6"/>
  <c r="AB16" i="6"/>
  <c r="AA17" i="6"/>
  <c r="AE14" i="16"/>
  <c r="AD15" i="16"/>
  <c r="D79" i="16"/>
  <c r="F79" i="16"/>
  <c r="G79" i="16"/>
  <c r="F80" i="16"/>
  <c r="G78" i="6"/>
  <c r="AC16" i="6"/>
  <c r="AB17" i="6"/>
  <c r="G80" i="16"/>
  <c r="AE15" i="16"/>
  <c r="AF14" i="16"/>
  <c r="G79" i="6"/>
  <c r="AD16" i="6"/>
  <c r="AC17" i="6"/>
  <c r="AF15" i="16"/>
  <c r="AG14" i="16"/>
  <c r="G80" i="6"/>
  <c r="AE16" i="6"/>
  <c r="AD17" i="6"/>
  <c r="AG15" i="16"/>
  <c r="AH14" i="16"/>
  <c r="AH15" i="16"/>
  <c r="G81" i="6"/>
  <c r="AE17" i="6"/>
  <c r="AF16" i="6"/>
  <c r="AG16" i="6"/>
  <c r="AF17" i="6"/>
  <c r="G82" i="6"/>
  <c r="AH16" i="6"/>
  <c r="AH17" i="6"/>
  <c r="AG17" i="6"/>
  <c r="AC47" i="8"/>
  <c r="AE64" i="11"/>
  <c r="AC54" i="8"/>
  <c r="AC55" i="8"/>
  <c r="AC44" i="8"/>
  <c r="AC56" i="8"/>
  <c r="AC57" i="8"/>
  <c r="L51" i="16"/>
  <c r="M51" i="16"/>
  <c r="N51" i="16"/>
  <c r="O51" i="16"/>
  <c r="P51" i="16"/>
  <c r="S51" i="16"/>
  <c r="C139" i="11"/>
  <c r="F33" i="18"/>
  <c r="G33" i="18"/>
  <c r="H33" i="18"/>
  <c r="I33" i="18"/>
  <c r="J33" i="18"/>
  <c r="K33" i="18"/>
  <c r="L33" i="18"/>
  <c r="M33" i="18"/>
  <c r="N33" i="18"/>
  <c r="O33" i="18"/>
  <c r="P33" i="18"/>
  <c r="Q33" i="18"/>
  <c r="R33" i="18"/>
  <c r="S33" i="18"/>
  <c r="T33" i="18"/>
  <c r="U33" i="18"/>
  <c r="V33" i="18"/>
  <c r="W33" i="18"/>
  <c r="X33" i="18"/>
  <c r="Y33" i="18"/>
  <c r="Z33" i="18"/>
  <c r="AA33" i="18"/>
  <c r="AB33" i="18"/>
  <c r="AC33" i="18"/>
  <c r="L13" i="3"/>
  <c r="C38" i="1"/>
  <c r="D38" i="1"/>
  <c r="E38" i="1"/>
  <c r="F38" i="1"/>
  <c r="G38" i="1"/>
  <c r="H38" i="1"/>
  <c r="I38" i="1"/>
  <c r="J38" i="1"/>
  <c r="K38" i="1"/>
  <c r="L38" i="1"/>
  <c r="M38" i="1"/>
  <c r="N38" i="1"/>
  <c r="O38" i="1"/>
  <c r="P38" i="1"/>
  <c r="Q38" i="1"/>
  <c r="R38" i="1"/>
  <c r="S38" i="1"/>
  <c r="T38" i="1"/>
  <c r="U38" i="1"/>
  <c r="V38" i="1"/>
  <c r="W38" i="1"/>
  <c r="X38" i="1"/>
  <c r="Y38" i="1"/>
  <c r="Z38" i="1"/>
  <c r="AA38" i="1"/>
  <c r="AB38" i="1"/>
  <c r="AC38" i="1"/>
  <c r="L14" i="3"/>
  <c r="G354" i="13"/>
  <c r="C378" i="13"/>
  <c r="C384" i="13"/>
  <c r="G356" i="13"/>
  <c r="G355" i="13"/>
  <c r="F244" i="13"/>
  <c r="F332" i="13"/>
  <c r="F246" i="13"/>
  <c r="F334" i="13"/>
  <c r="G334" i="13"/>
  <c r="F245" i="13"/>
  <c r="F333" i="13"/>
  <c r="G333" i="13"/>
  <c r="G246" i="13"/>
  <c r="G282" i="13"/>
  <c r="F282" i="13"/>
  <c r="G245" i="13"/>
  <c r="G281" i="13"/>
  <c r="F281" i="13"/>
  <c r="C94" i="11"/>
  <c r="C92" i="11"/>
  <c r="C93" i="11"/>
  <c r="F42" i="1"/>
  <c r="C115" i="11"/>
  <c r="C114" i="11"/>
  <c r="R17" i="11"/>
  <c r="M17" i="11"/>
  <c r="C17" i="11"/>
  <c r="H17" i="11"/>
  <c r="P17" i="11"/>
  <c r="I17" i="11"/>
  <c r="L17" i="11"/>
  <c r="N17" i="11"/>
  <c r="W17" i="11"/>
  <c r="X17" i="11"/>
  <c r="AA17" i="11"/>
  <c r="Q17" i="11"/>
  <c r="D17" i="11"/>
  <c r="U16" i="11"/>
  <c r="U17" i="11"/>
  <c r="AB16" i="11"/>
  <c r="AB17" i="11"/>
  <c r="K16" i="11"/>
  <c r="K17" i="11"/>
  <c r="S16" i="11"/>
  <c r="S17" i="11"/>
  <c r="F16" i="11"/>
  <c r="F17" i="11"/>
  <c r="Z16" i="11"/>
  <c r="Z17" i="11"/>
  <c r="AC16" i="11"/>
  <c r="AC17" i="11"/>
  <c r="Y16" i="11"/>
  <c r="Y17" i="11"/>
  <c r="G16" i="11"/>
  <c r="G17" i="11"/>
  <c r="V16" i="11"/>
  <c r="V17" i="11"/>
  <c r="O16" i="11"/>
  <c r="O17" i="11"/>
  <c r="T17" i="11"/>
  <c r="L15" i="11"/>
  <c r="M15" i="11"/>
  <c r="R15" i="11"/>
  <c r="X15" i="11"/>
  <c r="I15" i="11"/>
  <c r="H15" i="11"/>
  <c r="N15" i="11"/>
  <c r="J17" i="11"/>
  <c r="W15" i="11"/>
  <c r="Q15" i="11"/>
  <c r="AA15" i="11"/>
  <c r="D15" i="11"/>
  <c r="C16" i="11"/>
  <c r="N16" i="11"/>
  <c r="X16" i="11"/>
  <c r="P16" i="11"/>
  <c r="H16" i="11"/>
  <c r="W16" i="11"/>
  <c r="M16" i="11"/>
  <c r="E16" i="11"/>
  <c r="T16" i="11"/>
  <c r="L16" i="11"/>
  <c r="D16" i="11"/>
  <c r="AA16" i="11"/>
  <c r="R16" i="11"/>
  <c r="J16" i="11"/>
  <c r="C15" i="11"/>
  <c r="Q16" i="11"/>
  <c r="I16" i="11"/>
  <c r="E17" i="11"/>
  <c r="P15" i="11"/>
  <c r="G15" i="11"/>
  <c r="U15" i="11"/>
  <c r="T15" i="11"/>
  <c r="Y15" i="11"/>
  <c r="V15" i="11"/>
  <c r="F15" i="11"/>
  <c r="J15" i="11"/>
  <c r="S15" i="11"/>
  <c r="Z15" i="11"/>
  <c r="E15" i="11"/>
  <c r="O15" i="11"/>
  <c r="AB15" i="11"/>
  <c r="K15" i="11"/>
  <c r="C136" i="11"/>
  <c r="C361" i="13"/>
  <c r="C362" i="13"/>
  <c r="C363" i="13"/>
  <c r="C177" i="13"/>
  <c r="C204" i="13"/>
  <c r="C168" i="13"/>
  <c r="F168" i="13"/>
  <c r="C172" i="13"/>
  <c r="D172" i="13"/>
  <c r="E172" i="13"/>
  <c r="F172" i="13"/>
  <c r="G172" i="13"/>
  <c r="H172" i="13"/>
  <c r="I172" i="13"/>
  <c r="J172" i="13"/>
  <c r="K172" i="13"/>
  <c r="L172" i="13"/>
  <c r="M172" i="13"/>
  <c r="N172" i="13"/>
  <c r="O172" i="13"/>
  <c r="P172" i="13"/>
  <c r="Q172" i="13"/>
  <c r="R172" i="13"/>
  <c r="S172" i="13"/>
  <c r="T172" i="13"/>
  <c r="U172" i="13"/>
  <c r="V172" i="13"/>
  <c r="W172" i="13"/>
  <c r="X172" i="13"/>
  <c r="Y172" i="13"/>
  <c r="Z172" i="13"/>
  <c r="AA172" i="13"/>
  <c r="AB172" i="13"/>
  <c r="AC172" i="13"/>
  <c r="C207" i="13"/>
  <c r="C210" i="13"/>
  <c r="AD324" i="13"/>
  <c r="AC308" i="13"/>
  <c r="AB308" i="13"/>
  <c r="AA308" i="13"/>
  <c r="Z308" i="13"/>
  <c r="Y308" i="13"/>
  <c r="X308" i="13"/>
  <c r="W308" i="13"/>
  <c r="V308" i="13"/>
  <c r="U308" i="13"/>
  <c r="T308" i="13"/>
  <c r="S308" i="13"/>
  <c r="R308" i="13"/>
  <c r="Q308" i="13"/>
  <c r="P308" i="13"/>
  <c r="O308" i="13"/>
  <c r="N308" i="13"/>
  <c r="M308" i="13"/>
  <c r="L308" i="13"/>
  <c r="K308" i="13"/>
  <c r="J308" i="13"/>
  <c r="I308" i="13"/>
  <c r="H308" i="13"/>
  <c r="G308" i="13"/>
  <c r="F308" i="13"/>
  <c r="E308" i="13"/>
  <c r="D308" i="13"/>
  <c r="C256" i="13"/>
  <c r="C308" i="13"/>
  <c r="J265" i="13"/>
  <c r="J292" i="13"/>
  <c r="J296" i="13"/>
  <c r="J297" i="13"/>
  <c r="J295" i="13"/>
  <c r="J298" i="13"/>
  <c r="J299" i="13"/>
  <c r="I265" i="13"/>
  <c r="I292" i="13"/>
  <c r="I296" i="13"/>
  <c r="I297" i="13"/>
  <c r="I295" i="13"/>
  <c r="I298" i="13"/>
  <c r="I299" i="13"/>
  <c r="H265" i="13"/>
  <c r="H292" i="13"/>
  <c r="H296" i="13"/>
  <c r="H297" i="13"/>
  <c r="H295" i="13"/>
  <c r="H298" i="13"/>
  <c r="H299" i="13"/>
  <c r="G265" i="13"/>
  <c r="G292" i="13"/>
  <c r="G296" i="13"/>
  <c r="G297" i="13"/>
  <c r="G295" i="13"/>
  <c r="G298" i="13"/>
  <c r="G299" i="13"/>
  <c r="F265" i="13"/>
  <c r="F292" i="13"/>
  <c r="F296" i="13"/>
  <c r="F297" i="13"/>
  <c r="F295" i="13"/>
  <c r="F298" i="13"/>
  <c r="F299" i="13"/>
  <c r="E265" i="13"/>
  <c r="E292" i="13"/>
  <c r="E296" i="13"/>
  <c r="E297" i="13"/>
  <c r="E295" i="13"/>
  <c r="E298" i="13"/>
  <c r="E299" i="13"/>
  <c r="D265" i="13"/>
  <c r="D292" i="13"/>
  <c r="D296" i="13"/>
  <c r="D297" i="13"/>
  <c r="D295" i="13"/>
  <c r="D298" i="13"/>
  <c r="D299" i="13"/>
  <c r="D300" i="13"/>
  <c r="E300" i="13"/>
  <c r="F300" i="13"/>
  <c r="G300" i="13"/>
  <c r="H300" i="13"/>
  <c r="I300" i="13"/>
  <c r="J300" i="13"/>
  <c r="AC292" i="13"/>
  <c r="AC296" i="13"/>
  <c r="AC297" i="13"/>
  <c r="AC295" i="13"/>
  <c r="AC298" i="13"/>
  <c r="AC299" i="13"/>
  <c r="AB265" i="13"/>
  <c r="AB292" i="13"/>
  <c r="AB296" i="13"/>
  <c r="AB297" i="13"/>
  <c r="AB295" i="13"/>
  <c r="AB298" i="13"/>
  <c r="AA265" i="13"/>
  <c r="AA292" i="13"/>
  <c r="AA297" i="13"/>
  <c r="AA295" i="13"/>
  <c r="AA298" i="13"/>
  <c r="AB299" i="13"/>
  <c r="AA296" i="13"/>
  <c r="AA299" i="13"/>
  <c r="Z265" i="13"/>
  <c r="Z292" i="13"/>
  <c r="Z296" i="13"/>
  <c r="Z297" i="13"/>
  <c r="Z295" i="13"/>
  <c r="Z298" i="13"/>
  <c r="Z299" i="13"/>
  <c r="Y265" i="13"/>
  <c r="Y292" i="13"/>
  <c r="Y296" i="13"/>
  <c r="Y297" i="13"/>
  <c r="Y295" i="13"/>
  <c r="Y298" i="13"/>
  <c r="Y299" i="13"/>
  <c r="X265" i="13"/>
  <c r="X292" i="13"/>
  <c r="X296" i="13"/>
  <c r="X297" i="13"/>
  <c r="X295" i="13"/>
  <c r="X298" i="13"/>
  <c r="X299" i="13"/>
  <c r="W265" i="13"/>
  <c r="W292" i="13"/>
  <c r="W296" i="13"/>
  <c r="W297" i="13"/>
  <c r="W295" i="13"/>
  <c r="W298" i="13"/>
  <c r="W299" i="13"/>
  <c r="V265" i="13"/>
  <c r="V292" i="13"/>
  <c r="V296" i="13"/>
  <c r="V297" i="13"/>
  <c r="V295" i="13"/>
  <c r="V298" i="13"/>
  <c r="U265" i="13"/>
  <c r="U292" i="13"/>
  <c r="U297" i="13"/>
  <c r="U295" i="13"/>
  <c r="U298" i="13"/>
  <c r="V299" i="13"/>
  <c r="U296" i="13"/>
  <c r="U299" i="13"/>
  <c r="T265" i="13"/>
  <c r="T292" i="13"/>
  <c r="T296" i="13"/>
  <c r="T297" i="13"/>
  <c r="T295" i="13"/>
  <c r="T298" i="13"/>
  <c r="T299" i="13"/>
  <c r="S265" i="13"/>
  <c r="S292" i="13"/>
  <c r="S296" i="13"/>
  <c r="S297" i="13"/>
  <c r="S295" i="13"/>
  <c r="S298" i="13"/>
  <c r="S299" i="13"/>
  <c r="R265" i="13"/>
  <c r="R292" i="13"/>
  <c r="R296" i="13"/>
  <c r="R297" i="13"/>
  <c r="R295" i="13"/>
  <c r="R298" i="13"/>
  <c r="R299" i="13"/>
  <c r="Q265" i="13"/>
  <c r="Q292" i="13"/>
  <c r="Q296" i="13"/>
  <c r="Q297" i="13"/>
  <c r="Q295" i="13"/>
  <c r="Q298" i="13"/>
  <c r="Q299" i="13"/>
  <c r="P265" i="13"/>
  <c r="P292" i="13"/>
  <c r="P296" i="13"/>
  <c r="P297" i="13"/>
  <c r="P295" i="13"/>
  <c r="P298" i="13"/>
  <c r="P299" i="13"/>
  <c r="O265" i="13"/>
  <c r="O292" i="13"/>
  <c r="O296" i="13"/>
  <c r="O297" i="13"/>
  <c r="O295" i="13"/>
  <c r="O298" i="13"/>
  <c r="O299" i="13"/>
  <c r="N265" i="13"/>
  <c r="N292" i="13"/>
  <c r="N296" i="13"/>
  <c r="N297" i="13"/>
  <c r="N295" i="13"/>
  <c r="N298" i="13"/>
  <c r="N299" i="13"/>
  <c r="M265" i="13"/>
  <c r="M292" i="13"/>
  <c r="M296" i="13"/>
  <c r="M297" i="13"/>
  <c r="M295" i="13"/>
  <c r="M298" i="13"/>
  <c r="M299" i="13"/>
  <c r="L265" i="13"/>
  <c r="L292" i="13"/>
  <c r="L296" i="13"/>
  <c r="L297" i="13"/>
  <c r="L295" i="13"/>
  <c r="L298" i="13"/>
  <c r="L299" i="13"/>
  <c r="K265" i="13"/>
  <c r="K292" i="13"/>
  <c r="K296" i="13"/>
  <c r="K297" i="13"/>
  <c r="K295" i="13"/>
  <c r="K298" i="13"/>
  <c r="K299" i="13"/>
  <c r="C265" i="13"/>
  <c r="C292" i="13"/>
  <c r="C295" i="13"/>
  <c r="C298" i="13"/>
  <c r="C296" i="13"/>
  <c r="AC294" i="13"/>
  <c r="AB294" i="13"/>
  <c r="AA294" i="13"/>
  <c r="Z294" i="13"/>
  <c r="Y294" i="13"/>
  <c r="X294" i="13"/>
  <c r="W294" i="13"/>
  <c r="V294" i="13"/>
  <c r="U294" i="13"/>
  <c r="T294" i="13"/>
  <c r="S294" i="13"/>
  <c r="R294" i="13"/>
  <c r="Q294" i="13"/>
  <c r="P294" i="13"/>
  <c r="O294" i="13"/>
  <c r="N294" i="13"/>
  <c r="M294" i="13"/>
  <c r="L294" i="13"/>
  <c r="K294" i="13"/>
  <c r="J294" i="13"/>
  <c r="I294" i="13"/>
  <c r="H294" i="13"/>
  <c r="G294" i="13"/>
  <c r="F294" i="13"/>
  <c r="E294" i="13"/>
  <c r="D294" i="13"/>
  <c r="C294" i="13"/>
  <c r="AC265" i="13"/>
  <c r="AC260" i="13"/>
  <c r="AB260" i="13"/>
  <c r="AA260" i="13"/>
  <c r="Z260" i="13"/>
  <c r="Y260" i="13"/>
  <c r="X260" i="13"/>
  <c r="W260" i="13"/>
  <c r="V260" i="13"/>
  <c r="U260" i="13"/>
  <c r="T260" i="13"/>
  <c r="S260" i="13"/>
  <c r="R260" i="13"/>
  <c r="Q260" i="13"/>
  <c r="P260" i="13"/>
  <c r="O260" i="13"/>
  <c r="N260" i="13"/>
  <c r="M260" i="13"/>
  <c r="L260" i="13"/>
  <c r="K260" i="13"/>
  <c r="J260" i="13"/>
  <c r="I260" i="13"/>
  <c r="H260" i="13"/>
  <c r="G260" i="13"/>
  <c r="F260" i="13"/>
  <c r="E260" i="13"/>
  <c r="D260" i="13"/>
  <c r="C260" i="13"/>
  <c r="AD236" i="13"/>
  <c r="AC220" i="13"/>
  <c r="AB220" i="13"/>
  <c r="AA220" i="13"/>
  <c r="Z220" i="13"/>
  <c r="Y220" i="13"/>
  <c r="X220" i="13"/>
  <c r="W220" i="13"/>
  <c r="V220" i="13"/>
  <c r="U220" i="13"/>
  <c r="T220" i="13"/>
  <c r="S220" i="13"/>
  <c r="R220" i="13"/>
  <c r="Q220" i="13"/>
  <c r="P220" i="13"/>
  <c r="O220" i="13"/>
  <c r="N220" i="13"/>
  <c r="M220" i="13"/>
  <c r="L220" i="13"/>
  <c r="K220" i="13"/>
  <c r="J220" i="13"/>
  <c r="I220" i="13"/>
  <c r="H220" i="13"/>
  <c r="G220" i="13"/>
  <c r="F220" i="13"/>
  <c r="E220" i="13"/>
  <c r="D220" i="13"/>
  <c r="C220" i="13"/>
  <c r="C208" i="13"/>
  <c r="AC204" i="13"/>
  <c r="AC206" i="13"/>
  <c r="AB177" i="13"/>
  <c r="AB204" i="13"/>
  <c r="AB206" i="13"/>
  <c r="AA177" i="13"/>
  <c r="AA204" i="13"/>
  <c r="AA206" i="13"/>
  <c r="Z177" i="13"/>
  <c r="Z204" i="13"/>
  <c r="Z206" i="13"/>
  <c r="Y177" i="13"/>
  <c r="Y204" i="13"/>
  <c r="Y206" i="13"/>
  <c r="X177" i="13"/>
  <c r="X204" i="13"/>
  <c r="X206" i="13"/>
  <c r="W177" i="13"/>
  <c r="W204" i="13"/>
  <c r="W206" i="13"/>
  <c r="V177" i="13"/>
  <c r="V204" i="13"/>
  <c r="V206" i="13"/>
  <c r="U177" i="13"/>
  <c r="U204" i="13"/>
  <c r="U206" i="13"/>
  <c r="T177" i="13"/>
  <c r="T204" i="13"/>
  <c r="T206" i="13"/>
  <c r="S177" i="13"/>
  <c r="S204" i="13"/>
  <c r="S206" i="13"/>
  <c r="R177" i="13"/>
  <c r="R204" i="13"/>
  <c r="R206" i="13"/>
  <c r="Q177" i="13"/>
  <c r="Q204" i="13"/>
  <c r="Q206" i="13"/>
  <c r="P177" i="13"/>
  <c r="P204" i="13"/>
  <c r="P206" i="13"/>
  <c r="O177" i="13"/>
  <c r="O204" i="13"/>
  <c r="O206" i="13"/>
  <c r="N177" i="13"/>
  <c r="N204" i="13"/>
  <c r="N206" i="13"/>
  <c r="M177" i="13"/>
  <c r="M204" i="13"/>
  <c r="M206" i="13"/>
  <c r="L177" i="13"/>
  <c r="L204" i="13"/>
  <c r="L206" i="13"/>
  <c r="K177" i="13"/>
  <c r="K204" i="13"/>
  <c r="K206" i="13"/>
  <c r="J177" i="13"/>
  <c r="J204" i="13"/>
  <c r="J206" i="13"/>
  <c r="I177" i="13"/>
  <c r="I204" i="13"/>
  <c r="I206" i="13"/>
  <c r="H177" i="13"/>
  <c r="H204" i="13"/>
  <c r="H206" i="13"/>
  <c r="G177" i="13"/>
  <c r="G204" i="13"/>
  <c r="G206" i="13"/>
  <c r="F177" i="13"/>
  <c r="F204" i="13"/>
  <c r="F206" i="13"/>
  <c r="E177" i="13"/>
  <c r="E204" i="13"/>
  <c r="E206" i="13"/>
  <c r="D177" i="13"/>
  <c r="D204" i="13"/>
  <c r="D206" i="13"/>
  <c r="C206" i="13"/>
  <c r="AC177" i="13"/>
  <c r="B76" i="13"/>
  <c r="B150" i="13"/>
  <c r="E150" i="13"/>
  <c r="I150" i="13"/>
  <c r="G150" i="13"/>
  <c r="K150" i="13"/>
  <c r="F150" i="13"/>
  <c r="M150" i="13"/>
  <c r="H150" i="13"/>
  <c r="J150" i="13"/>
  <c r="L150" i="13"/>
  <c r="B75" i="13"/>
  <c r="B149" i="13"/>
  <c r="E149" i="13"/>
  <c r="I149" i="13"/>
  <c r="G149" i="13"/>
  <c r="K149" i="13"/>
  <c r="F149" i="13"/>
  <c r="M149" i="13"/>
  <c r="H149" i="13"/>
  <c r="J149" i="13"/>
  <c r="L149" i="13"/>
  <c r="M73" i="13"/>
  <c r="B118" i="13"/>
  <c r="M72" i="13"/>
  <c r="B117" i="13"/>
  <c r="AB275" i="13"/>
  <c r="AB276" i="13"/>
  <c r="AA275" i="13"/>
  <c r="AA276" i="13"/>
  <c r="Z275" i="13"/>
  <c r="Z276" i="13"/>
  <c r="Y275" i="13"/>
  <c r="Y276" i="13"/>
  <c r="X275" i="13"/>
  <c r="X276" i="13"/>
  <c r="W275" i="13"/>
  <c r="W276" i="13"/>
  <c r="V275" i="13"/>
  <c r="V276" i="13"/>
  <c r="U275" i="13"/>
  <c r="U276" i="13"/>
  <c r="T275" i="13"/>
  <c r="T276" i="13"/>
  <c r="S275" i="13"/>
  <c r="S276" i="13"/>
  <c r="R275" i="13"/>
  <c r="R276" i="13"/>
  <c r="Q275" i="13"/>
  <c r="Q276" i="13"/>
  <c r="P275" i="13"/>
  <c r="P276" i="13"/>
  <c r="O275" i="13"/>
  <c r="O276" i="13"/>
  <c r="N275" i="13"/>
  <c r="N276" i="13"/>
  <c r="M275" i="13"/>
  <c r="M276" i="13"/>
  <c r="L275" i="13"/>
  <c r="L276" i="13"/>
  <c r="K275" i="13"/>
  <c r="K276" i="13"/>
  <c r="J275" i="13"/>
  <c r="J276" i="13"/>
  <c r="I275" i="13"/>
  <c r="I276" i="13"/>
  <c r="H275" i="13"/>
  <c r="H276" i="13"/>
  <c r="G275" i="13"/>
  <c r="G276" i="13"/>
  <c r="F275" i="13"/>
  <c r="F276" i="13"/>
  <c r="E275" i="13"/>
  <c r="E276" i="13"/>
  <c r="D275" i="13"/>
  <c r="D276" i="13"/>
  <c r="D256" i="13"/>
  <c r="AC275" i="13"/>
  <c r="AC276" i="13"/>
  <c r="J208" i="13"/>
  <c r="J209" i="13"/>
  <c r="J207" i="13"/>
  <c r="J210" i="13"/>
  <c r="I209" i="13"/>
  <c r="I207" i="13"/>
  <c r="I210" i="13"/>
  <c r="I208" i="13"/>
  <c r="H209" i="13"/>
  <c r="H207" i="13"/>
  <c r="H210" i="13"/>
  <c r="H208" i="13"/>
  <c r="G209" i="13"/>
  <c r="G207" i="13"/>
  <c r="G210" i="13"/>
  <c r="G208" i="13"/>
  <c r="F209" i="13"/>
  <c r="F207" i="13"/>
  <c r="F210" i="13"/>
  <c r="F208" i="13"/>
  <c r="E209" i="13"/>
  <c r="E207" i="13"/>
  <c r="E210" i="13"/>
  <c r="E208" i="13"/>
  <c r="D208" i="13"/>
  <c r="D209" i="13"/>
  <c r="D207" i="13"/>
  <c r="D210" i="13"/>
  <c r="AC208" i="13"/>
  <c r="AC209" i="13"/>
  <c r="AC207" i="13"/>
  <c r="AC210" i="13"/>
  <c r="AB208" i="13"/>
  <c r="AB209" i="13"/>
  <c r="AB207" i="13"/>
  <c r="AB210" i="13"/>
  <c r="AA209" i="13"/>
  <c r="AA207" i="13"/>
  <c r="AA210" i="13"/>
  <c r="AA208" i="13"/>
  <c r="Z209" i="13"/>
  <c r="Z207" i="13"/>
  <c r="Z210" i="13"/>
  <c r="Z208" i="13"/>
  <c r="Y209" i="13"/>
  <c r="Y207" i="13"/>
  <c r="Y210" i="13"/>
  <c r="Y208" i="13"/>
  <c r="X209" i="13"/>
  <c r="X207" i="13"/>
  <c r="X210" i="13"/>
  <c r="X208" i="13"/>
  <c r="W209" i="13"/>
  <c r="W207" i="13"/>
  <c r="W210" i="13"/>
  <c r="W208" i="13"/>
  <c r="V209" i="13"/>
  <c r="V207" i="13"/>
  <c r="V210" i="13"/>
  <c r="V208" i="13"/>
  <c r="U209" i="13"/>
  <c r="U207" i="13"/>
  <c r="U210" i="13"/>
  <c r="U208" i="13"/>
  <c r="T209" i="13"/>
  <c r="T207" i="13"/>
  <c r="T210" i="13"/>
  <c r="T208" i="13"/>
  <c r="S209" i="13"/>
  <c r="S207" i="13"/>
  <c r="S210" i="13"/>
  <c r="S208" i="13"/>
  <c r="R209" i="13"/>
  <c r="R207" i="13"/>
  <c r="R210" i="13"/>
  <c r="R208" i="13"/>
  <c r="Q209" i="13"/>
  <c r="Q207" i="13"/>
  <c r="Q210" i="13"/>
  <c r="Q208" i="13"/>
  <c r="P209" i="13"/>
  <c r="P207" i="13"/>
  <c r="P210" i="13"/>
  <c r="P208" i="13"/>
  <c r="O209" i="13"/>
  <c r="O207" i="13"/>
  <c r="O210" i="13"/>
  <c r="O208" i="13"/>
  <c r="N209" i="13"/>
  <c r="N207" i="13"/>
  <c r="N210" i="13"/>
  <c r="N208" i="13"/>
  <c r="M209" i="13"/>
  <c r="M207" i="13"/>
  <c r="M210" i="13"/>
  <c r="M208" i="13"/>
  <c r="L209" i="13"/>
  <c r="L207" i="13"/>
  <c r="L210" i="13"/>
  <c r="L208" i="13"/>
  <c r="K209" i="13"/>
  <c r="K207" i="13"/>
  <c r="K210" i="13"/>
  <c r="K208" i="13"/>
  <c r="AB187" i="13"/>
  <c r="AB188" i="13"/>
  <c r="AB189" i="13"/>
  <c r="AA187" i="13"/>
  <c r="AA188" i="13"/>
  <c r="AA189" i="13"/>
  <c r="Z187" i="13"/>
  <c r="Z188" i="13"/>
  <c r="Z189" i="13"/>
  <c r="Y187" i="13"/>
  <c r="Y188" i="13"/>
  <c r="Y189" i="13"/>
  <c r="X187" i="13"/>
  <c r="X188" i="13"/>
  <c r="X189" i="13"/>
  <c r="W187" i="13"/>
  <c r="W188" i="13"/>
  <c r="W189" i="13"/>
  <c r="V187" i="13"/>
  <c r="V188" i="13"/>
  <c r="V189" i="13"/>
  <c r="U187" i="13"/>
  <c r="U188" i="13"/>
  <c r="U189" i="13"/>
  <c r="T187" i="13"/>
  <c r="T188" i="13"/>
  <c r="T189" i="13"/>
  <c r="S187" i="13"/>
  <c r="S188" i="13"/>
  <c r="S189" i="13"/>
  <c r="R187" i="13"/>
  <c r="R188" i="13"/>
  <c r="R189" i="13"/>
  <c r="Q187" i="13"/>
  <c r="Q188" i="13"/>
  <c r="Q189" i="13"/>
  <c r="P187" i="13"/>
  <c r="P188" i="13"/>
  <c r="P189" i="13"/>
  <c r="O187" i="13"/>
  <c r="O188" i="13"/>
  <c r="O189" i="13"/>
  <c r="N187" i="13"/>
  <c r="N188" i="13"/>
  <c r="N189" i="13"/>
  <c r="M187" i="13"/>
  <c r="M188" i="13"/>
  <c r="M189" i="13"/>
  <c r="L187" i="13"/>
  <c r="L188" i="13"/>
  <c r="L189" i="13"/>
  <c r="K187" i="13"/>
  <c r="K188" i="13"/>
  <c r="K189" i="13"/>
  <c r="J187" i="13"/>
  <c r="J188" i="13"/>
  <c r="J189" i="13"/>
  <c r="I187" i="13"/>
  <c r="I188" i="13"/>
  <c r="I189" i="13"/>
  <c r="H187" i="13"/>
  <c r="H188" i="13"/>
  <c r="H189" i="13"/>
  <c r="G187" i="13"/>
  <c r="G188" i="13"/>
  <c r="G189" i="13"/>
  <c r="F187" i="13"/>
  <c r="F188" i="13"/>
  <c r="F189" i="13"/>
  <c r="E187" i="13"/>
  <c r="E188" i="13"/>
  <c r="D187" i="13"/>
  <c r="D188" i="13"/>
  <c r="AC187" i="13"/>
  <c r="AC188" i="13"/>
  <c r="AC189" i="13"/>
  <c r="AD33" i="18"/>
  <c r="E33" i="18"/>
  <c r="D33" i="18"/>
  <c r="D35" i="18"/>
  <c r="D36" i="18"/>
  <c r="D37" i="18"/>
  <c r="E39" i="18"/>
  <c r="D39" i="11"/>
  <c r="D42" i="11"/>
  <c r="D39" i="18"/>
  <c r="C39" i="11"/>
  <c r="C42" i="11"/>
  <c r="C43" i="11"/>
  <c r="C44" i="11"/>
  <c r="D43" i="11"/>
  <c r="D44" i="11"/>
  <c r="F39" i="18"/>
  <c r="E39" i="11"/>
  <c r="E42" i="11"/>
  <c r="E43" i="11"/>
  <c r="E44" i="11"/>
  <c r="G39" i="18"/>
  <c r="F39" i="11"/>
  <c r="F42" i="11"/>
  <c r="F43" i="11"/>
  <c r="F44" i="11"/>
  <c r="H39" i="18"/>
  <c r="G39" i="11"/>
  <c r="G42" i="11"/>
  <c r="G43" i="11"/>
  <c r="G44" i="11"/>
  <c r="I39" i="18"/>
  <c r="H39" i="11"/>
  <c r="H42" i="11"/>
  <c r="H43" i="11"/>
  <c r="H44" i="11"/>
  <c r="J39" i="18"/>
  <c r="I39" i="11"/>
  <c r="I42" i="11"/>
  <c r="I43" i="11"/>
  <c r="I44" i="11"/>
  <c r="K39" i="18"/>
  <c r="J39" i="11"/>
  <c r="J42" i="11"/>
  <c r="J43" i="11"/>
  <c r="J44" i="11"/>
  <c r="L39" i="18"/>
  <c r="K39" i="11"/>
  <c r="K42" i="11"/>
  <c r="K43" i="11"/>
  <c r="K44" i="11"/>
  <c r="M39" i="18"/>
  <c r="L39" i="11"/>
  <c r="L42" i="11"/>
  <c r="L43" i="11"/>
  <c r="L44" i="11"/>
  <c r="N39" i="18"/>
  <c r="M39" i="11"/>
  <c r="M42" i="11"/>
  <c r="M43" i="11"/>
  <c r="M44" i="11"/>
  <c r="O39" i="18"/>
  <c r="N39" i="11"/>
  <c r="N42" i="11"/>
  <c r="N43" i="11"/>
  <c r="N44" i="11"/>
  <c r="P39" i="18"/>
  <c r="O39" i="11"/>
  <c r="O42" i="11"/>
  <c r="O43" i="11"/>
  <c r="O44" i="11"/>
  <c r="Q39" i="18"/>
  <c r="P39" i="11"/>
  <c r="P42" i="11"/>
  <c r="P43" i="11"/>
  <c r="P44" i="11"/>
  <c r="R39" i="18"/>
  <c r="Q39" i="11"/>
  <c r="Q42" i="11"/>
  <c r="Q43" i="11"/>
  <c r="Q44" i="11"/>
  <c r="S39" i="18"/>
  <c r="R39" i="11"/>
  <c r="R42" i="11"/>
  <c r="R43" i="11"/>
  <c r="R44" i="11"/>
  <c r="T39" i="18"/>
  <c r="S39" i="11"/>
  <c r="S42" i="11"/>
  <c r="S43" i="11"/>
  <c r="S44" i="11"/>
  <c r="U39" i="18"/>
  <c r="T39" i="11"/>
  <c r="T42" i="11"/>
  <c r="T43" i="11"/>
  <c r="T44" i="11"/>
  <c r="V39" i="18"/>
  <c r="U39" i="11"/>
  <c r="U42" i="11"/>
  <c r="U43" i="11"/>
  <c r="U44" i="11"/>
  <c r="W39" i="18"/>
  <c r="V39" i="11"/>
  <c r="V42" i="11"/>
  <c r="V43" i="11"/>
  <c r="V44" i="11"/>
  <c r="X39" i="18"/>
  <c r="W39" i="11"/>
  <c r="W42" i="11"/>
  <c r="W43" i="11"/>
  <c r="W44" i="11"/>
  <c r="Y39" i="18"/>
  <c r="X39" i="11"/>
  <c r="X42" i="11"/>
  <c r="X43" i="11"/>
  <c r="X44" i="11"/>
  <c r="Z39" i="18"/>
  <c r="Y39" i="11"/>
  <c r="Y42" i="11"/>
  <c r="Y43" i="11"/>
  <c r="Y44" i="11"/>
  <c r="AA39" i="18"/>
  <c r="Z39" i="11"/>
  <c r="Z42" i="11"/>
  <c r="Z43" i="11"/>
  <c r="Z44" i="11"/>
  <c r="AB39" i="18"/>
  <c r="AA39" i="11"/>
  <c r="AA42" i="11"/>
  <c r="AA43" i="11"/>
  <c r="AA44" i="11"/>
  <c r="AC39" i="18"/>
  <c r="AB39" i="11"/>
  <c r="AB42" i="11"/>
  <c r="AB43" i="11"/>
  <c r="AB44" i="11"/>
  <c r="AD39" i="18"/>
  <c r="AC39" i="11"/>
  <c r="AC42" i="11"/>
  <c r="AC43" i="11"/>
  <c r="AC44" i="11"/>
  <c r="E92" i="11"/>
  <c r="L37" i="17"/>
  <c r="C137" i="11"/>
  <c r="C45" i="11"/>
  <c r="D45" i="11"/>
  <c r="E45" i="11"/>
  <c r="F45" i="11"/>
  <c r="G45" i="11"/>
  <c r="H45" i="11"/>
  <c r="I45" i="11"/>
  <c r="J45" i="11"/>
  <c r="K45" i="11"/>
  <c r="L45" i="11"/>
  <c r="M45" i="11"/>
  <c r="N45" i="11"/>
  <c r="O45" i="11"/>
  <c r="P45" i="11"/>
  <c r="Q45" i="11"/>
  <c r="R45" i="11"/>
  <c r="S45" i="11"/>
  <c r="T45" i="11"/>
  <c r="U45" i="11"/>
  <c r="V45" i="11"/>
  <c r="W45" i="11"/>
  <c r="X45" i="11"/>
  <c r="Y45" i="11"/>
  <c r="Z45" i="11"/>
  <c r="AA45" i="11"/>
  <c r="AB45" i="11"/>
  <c r="AC45" i="11"/>
  <c r="E93" i="11"/>
  <c r="G93" i="11"/>
  <c r="H93" i="11"/>
  <c r="G92" i="11"/>
  <c r="H92" i="11"/>
  <c r="C46" i="11"/>
  <c r="D46" i="11"/>
  <c r="E46" i="11"/>
  <c r="F46" i="11"/>
  <c r="G46" i="11"/>
  <c r="H46" i="11"/>
  <c r="I46" i="11"/>
  <c r="J46" i="11"/>
  <c r="K46" i="11"/>
  <c r="L46" i="11"/>
  <c r="M46" i="11"/>
  <c r="N46" i="11"/>
  <c r="O46" i="11"/>
  <c r="P46" i="11"/>
  <c r="Q46" i="11"/>
  <c r="R46" i="11"/>
  <c r="S46" i="11"/>
  <c r="T46" i="11"/>
  <c r="U46" i="11"/>
  <c r="V46" i="11"/>
  <c r="W46" i="11"/>
  <c r="X46" i="11"/>
  <c r="Y46" i="11"/>
  <c r="Z46" i="11"/>
  <c r="AA46" i="11"/>
  <c r="AB46" i="11"/>
  <c r="AC46" i="11"/>
  <c r="E94" i="11"/>
  <c r="G94" i="11"/>
  <c r="H94" i="11"/>
  <c r="E96" i="11"/>
  <c r="H96" i="11"/>
  <c r="D58" i="18"/>
  <c r="E58" i="18"/>
  <c r="F58" i="18"/>
  <c r="G58" i="18"/>
  <c r="H58" i="18"/>
  <c r="I58" i="18"/>
  <c r="J58" i="18"/>
  <c r="K58" i="18"/>
  <c r="L58" i="18"/>
  <c r="M58" i="18"/>
  <c r="N58" i="18"/>
  <c r="O58" i="18"/>
  <c r="P58" i="18"/>
  <c r="Q58" i="18"/>
  <c r="R58" i="18"/>
  <c r="S58" i="18"/>
  <c r="T58" i="18"/>
  <c r="U58" i="18"/>
  <c r="V58" i="18"/>
  <c r="W58" i="18"/>
  <c r="X58" i="18"/>
  <c r="Y58" i="18"/>
  <c r="Z58" i="18"/>
  <c r="AA58" i="18"/>
  <c r="AB58" i="18"/>
  <c r="AC58" i="18"/>
  <c r="AD58" i="18"/>
  <c r="D60" i="18"/>
  <c r="D61" i="18"/>
  <c r="D62" i="18"/>
  <c r="D64" i="18"/>
  <c r="D65" i="18"/>
  <c r="D66" i="18"/>
  <c r="E64" i="18"/>
  <c r="E65" i="18"/>
  <c r="E66" i="18"/>
  <c r="F64" i="18"/>
  <c r="F65" i="18"/>
  <c r="F66" i="18"/>
  <c r="G64" i="18"/>
  <c r="G65" i="18"/>
  <c r="G66" i="18"/>
  <c r="H64" i="18"/>
  <c r="H65" i="18"/>
  <c r="H66" i="18"/>
  <c r="I64" i="18"/>
  <c r="I65" i="18"/>
  <c r="I66" i="18"/>
  <c r="J64" i="18"/>
  <c r="J65" i="18"/>
  <c r="J66" i="18"/>
  <c r="K64" i="18"/>
  <c r="K65" i="18"/>
  <c r="K66" i="18"/>
  <c r="L64" i="18"/>
  <c r="L65" i="18"/>
  <c r="L66" i="18"/>
  <c r="M64" i="18"/>
  <c r="M65" i="18"/>
  <c r="M66" i="18"/>
  <c r="N64" i="18"/>
  <c r="N65" i="18"/>
  <c r="N66" i="18"/>
  <c r="O64" i="18"/>
  <c r="O65" i="18"/>
  <c r="O66" i="18"/>
  <c r="P64" i="18"/>
  <c r="P65" i="18"/>
  <c r="P66" i="18"/>
  <c r="Q64" i="18"/>
  <c r="Q65" i="18"/>
  <c r="Q66" i="18"/>
  <c r="R64" i="18"/>
  <c r="R65" i="18"/>
  <c r="R66" i="18"/>
  <c r="S64" i="18"/>
  <c r="S65" i="18"/>
  <c r="S66" i="18"/>
  <c r="T64" i="18"/>
  <c r="T65" i="18"/>
  <c r="T66" i="18"/>
  <c r="U64" i="18"/>
  <c r="U65" i="18"/>
  <c r="U66" i="18"/>
  <c r="V64" i="18"/>
  <c r="V65" i="18"/>
  <c r="V66" i="18"/>
  <c r="W64" i="18"/>
  <c r="W65" i="18"/>
  <c r="W66" i="18"/>
  <c r="X64" i="18"/>
  <c r="X65" i="18"/>
  <c r="X66" i="18"/>
  <c r="Y64" i="18"/>
  <c r="Y65" i="18"/>
  <c r="Y66" i="18"/>
  <c r="Z64" i="18"/>
  <c r="Z65" i="18"/>
  <c r="Z66" i="18"/>
  <c r="AA64" i="18"/>
  <c r="AA65" i="18"/>
  <c r="AA66" i="18"/>
  <c r="AB64" i="18"/>
  <c r="AB65" i="18"/>
  <c r="AB66" i="18"/>
  <c r="AC64" i="18"/>
  <c r="AC65" i="18"/>
  <c r="AC66" i="18"/>
  <c r="AD65" i="18"/>
  <c r="AD66" i="18"/>
  <c r="D68" i="18"/>
  <c r="G113" i="11"/>
  <c r="L38" i="17"/>
  <c r="D43" i="18"/>
  <c r="E43" i="18"/>
  <c r="F43" i="18"/>
  <c r="G43" i="18"/>
  <c r="H43" i="18"/>
  <c r="I43" i="18"/>
  <c r="J43" i="18"/>
  <c r="K43" i="18"/>
  <c r="L43" i="18"/>
  <c r="M43" i="18"/>
  <c r="N43" i="18"/>
  <c r="O43" i="18"/>
  <c r="P43" i="18"/>
  <c r="Q43" i="18"/>
  <c r="R43" i="18"/>
  <c r="S43" i="18"/>
  <c r="T43" i="18"/>
  <c r="U43" i="18"/>
  <c r="V43" i="18"/>
  <c r="W43" i="18"/>
  <c r="X43" i="18"/>
  <c r="Y43" i="18"/>
  <c r="Z43" i="18"/>
  <c r="AA43" i="18"/>
  <c r="AB43" i="18"/>
  <c r="AC43" i="18"/>
  <c r="AD43" i="18"/>
  <c r="D45" i="18"/>
  <c r="D46" i="18"/>
  <c r="D47" i="18"/>
  <c r="D49" i="18"/>
  <c r="D50" i="18"/>
  <c r="D51" i="18"/>
  <c r="E49" i="18"/>
  <c r="E50" i="18"/>
  <c r="E51" i="18"/>
  <c r="F49" i="18"/>
  <c r="F50" i="18"/>
  <c r="F51" i="18"/>
  <c r="G49" i="18"/>
  <c r="G50" i="18"/>
  <c r="G51" i="18"/>
  <c r="H49" i="18"/>
  <c r="H50" i="18"/>
  <c r="H51" i="18"/>
  <c r="I49" i="18"/>
  <c r="I50" i="18"/>
  <c r="I51" i="18"/>
  <c r="J49" i="18"/>
  <c r="J50" i="18"/>
  <c r="J51" i="18"/>
  <c r="K49" i="18"/>
  <c r="K50" i="18"/>
  <c r="K51" i="18"/>
  <c r="L49" i="18"/>
  <c r="L50" i="18"/>
  <c r="L51" i="18"/>
  <c r="M49" i="18"/>
  <c r="M50" i="18"/>
  <c r="M51" i="18"/>
  <c r="N49" i="18"/>
  <c r="N50" i="18"/>
  <c r="N51" i="18"/>
  <c r="O49" i="18"/>
  <c r="O50" i="18"/>
  <c r="O51" i="18"/>
  <c r="P49" i="18"/>
  <c r="P50" i="18"/>
  <c r="P51" i="18"/>
  <c r="Q49" i="18"/>
  <c r="Q50" i="18"/>
  <c r="Q51" i="18"/>
  <c r="R49" i="18"/>
  <c r="R50" i="18"/>
  <c r="R51" i="18"/>
  <c r="S49" i="18"/>
  <c r="S50" i="18"/>
  <c r="S51" i="18"/>
  <c r="T49" i="18"/>
  <c r="T50" i="18"/>
  <c r="T51" i="18"/>
  <c r="U49" i="18"/>
  <c r="U50" i="18"/>
  <c r="U51" i="18"/>
  <c r="V49" i="18"/>
  <c r="V50" i="18"/>
  <c r="V51" i="18"/>
  <c r="W49" i="18"/>
  <c r="W50" i="18"/>
  <c r="W51" i="18"/>
  <c r="X49" i="18"/>
  <c r="X50" i="18"/>
  <c r="X51" i="18"/>
  <c r="Y49" i="18"/>
  <c r="Y50" i="18"/>
  <c r="Y51" i="18"/>
  <c r="Z49" i="18"/>
  <c r="Z50" i="18"/>
  <c r="Z51" i="18"/>
  <c r="AA49" i="18"/>
  <c r="AA50" i="18"/>
  <c r="AA51" i="18"/>
  <c r="AB49" i="18"/>
  <c r="AB50" i="18"/>
  <c r="AB51" i="18"/>
  <c r="AC49" i="18"/>
  <c r="AC50" i="18"/>
  <c r="AC51" i="18"/>
  <c r="AD50" i="18"/>
  <c r="AD51" i="18"/>
  <c r="D53" i="18"/>
  <c r="E113" i="11"/>
  <c r="L36" i="17"/>
  <c r="L11" i="17"/>
  <c r="L14" i="17"/>
  <c r="L12" i="17"/>
  <c r="L15" i="17"/>
  <c r="C152" i="11"/>
  <c r="C153" i="11"/>
  <c r="C133" i="11"/>
  <c r="C134" i="11"/>
  <c r="C154" i="11"/>
  <c r="AD64" i="18"/>
  <c r="AD49" i="18"/>
  <c r="D52" i="18"/>
  <c r="E52" i="18"/>
  <c r="F52" i="18"/>
  <c r="G52" i="18"/>
  <c r="H52" i="18"/>
  <c r="I52" i="18"/>
  <c r="J52" i="18"/>
  <c r="K52" i="18"/>
  <c r="L52" i="18"/>
  <c r="M52" i="18"/>
  <c r="N52" i="18"/>
  <c r="O52" i="18"/>
  <c r="P52" i="18"/>
  <c r="Q52" i="18"/>
  <c r="R52" i="18"/>
  <c r="S52" i="18"/>
  <c r="T52" i="18"/>
  <c r="U52" i="18"/>
  <c r="V52" i="18"/>
  <c r="W52" i="18"/>
  <c r="X52" i="18"/>
  <c r="Y52" i="18"/>
  <c r="Z52" i="18"/>
  <c r="AA52" i="18"/>
  <c r="AB52" i="18"/>
  <c r="AC52" i="18"/>
  <c r="AD52" i="18"/>
  <c r="D54" i="18"/>
  <c r="E114" i="11"/>
  <c r="D55" i="18"/>
  <c r="E115" i="11"/>
  <c r="D67" i="18"/>
  <c r="E67" i="18"/>
  <c r="F67" i="18"/>
  <c r="G67" i="18"/>
  <c r="H67" i="18"/>
  <c r="I67" i="18"/>
  <c r="J67" i="18"/>
  <c r="K67" i="18"/>
  <c r="L67" i="18"/>
  <c r="M67" i="18"/>
  <c r="N67" i="18"/>
  <c r="O67" i="18"/>
  <c r="P67" i="18"/>
  <c r="Q67" i="18"/>
  <c r="R67" i="18"/>
  <c r="S67" i="18"/>
  <c r="T67" i="18"/>
  <c r="U67" i="18"/>
  <c r="V67" i="18"/>
  <c r="W67" i="18"/>
  <c r="X67" i="18"/>
  <c r="Y67" i="18"/>
  <c r="Z67" i="18"/>
  <c r="AA67" i="18"/>
  <c r="AB67" i="18"/>
  <c r="AC67" i="18"/>
  <c r="AD67" i="18"/>
  <c r="D69" i="18"/>
  <c r="G114" i="11"/>
  <c r="D70" i="18"/>
  <c r="G115" i="11"/>
  <c r="J113" i="11"/>
  <c r="J114" i="11"/>
  <c r="K113" i="11"/>
  <c r="K114" i="11"/>
  <c r="B117" i="11"/>
  <c r="C236" i="13" a="1"/>
  <c r="C236" i="13"/>
  <c r="D236" i="13"/>
  <c r="E236" i="13"/>
  <c r="F236" i="13"/>
  <c r="G236" i="13"/>
  <c r="H236" i="13"/>
  <c r="I236" i="13"/>
  <c r="J236" i="13"/>
  <c r="K236" i="13"/>
  <c r="L236" i="13"/>
  <c r="M236" i="13"/>
  <c r="N236" i="13"/>
  <c r="O236" i="13"/>
  <c r="P236" i="13"/>
  <c r="Q236" i="13"/>
  <c r="R236" i="13"/>
  <c r="S236" i="13"/>
  <c r="T236" i="13"/>
  <c r="U236" i="13"/>
  <c r="V236" i="13"/>
  <c r="W236" i="13"/>
  <c r="X236" i="13"/>
  <c r="Y236" i="13"/>
  <c r="Z236" i="13"/>
  <c r="AA236" i="13"/>
  <c r="AB236" i="13"/>
  <c r="C324" i="13" a="1"/>
  <c r="C324" i="13"/>
  <c r="D324" i="13"/>
  <c r="E324" i="13"/>
  <c r="F324" i="13"/>
  <c r="G324" i="13"/>
  <c r="H324" i="13"/>
  <c r="I324" i="13"/>
  <c r="J324" i="13"/>
  <c r="K324" i="13"/>
  <c r="L324" i="13"/>
  <c r="M324" i="13"/>
  <c r="N324" i="13"/>
  <c r="O324" i="13"/>
  <c r="P324" i="13"/>
  <c r="Q324" i="13"/>
  <c r="R324" i="13"/>
  <c r="S324" i="13"/>
  <c r="T324" i="13"/>
  <c r="U324" i="13"/>
  <c r="V324" i="13"/>
  <c r="W324" i="13"/>
  <c r="X324" i="13"/>
  <c r="Y324" i="13"/>
  <c r="Z324" i="13"/>
  <c r="AA324" i="13"/>
  <c r="AB324" i="13"/>
  <c r="C8" i="8" a="1"/>
  <c r="C8" i="8"/>
  <c r="C9" i="8"/>
  <c r="C37" i="8"/>
  <c r="C88" i="8"/>
  <c r="C91" i="8"/>
  <c r="C92" i="8"/>
  <c r="C93" i="8"/>
  <c r="C105" i="8"/>
  <c r="C106" i="8"/>
  <c r="C110" i="8" a="1"/>
  <c r="C110" i="8"/>
  <c r="C111" i="8"/>
  <c r="D8" i="8"/>
  <c r="D9" i="8"/>
  <c r="D37" i="8"/>
  <c r="E8" i="8"/>
  <c r="E9" i="8"/>
  <c r="E37" i="8"/>
  <c r="D86" i="8"/>
  <c r="D89" i="8"/>
  <c r="D88" i="8"/>
  <c r="D91" i="8"/>
  <c r="E35" i="8"/>
  <c r="E38" i="8"/>
  <c r="D90" i="8"/>
  <c r="D92" i="8"/>
  <c r="D93" i="8"/>
  <c r="D105" i="8"/>
  <c r="D106" i="8"/>
  <c r="D110" i="8"/>
  <c r="D111" i="8"/>
  <c r="F8" i="8"/>
  <c r="F9" i="8"/>
  <c r="F37" i="8"/>
  <c r="E86" i="8"/>
  <c r="E89" i="8"/>
  <c r="E88" i="8"/>
  <c r="E91" i="8"/>
  <c r="F35" i="8"/>
  <c r="F38" i="8"/>
  <c r="E90" i="8"/>
  <c r="E92" i="8"/>
  <c r="E93" i="8"/>
  <c r="E105" i="8"/>
  <c r="E106" i="8"/>
  <c r="E110" i="8"/>
  <c r="E111" i="8"/>
  <c r="G8" i="8"/>
  <c r="G9" i="8"/>
  <c r="G37" i="8"/>
  <c r="F86" i="8"/>
  <c r="F89" i="8"/>
  <c r="F88" i="8"/>
  <c r="F91" i="8"/>
  <c r="G35" i="8"/>
  <c r="G38" i="8"/>
  <c r="F90" i="8"/>
  <c r="F92" i="8"/>
  <c r="F93" i="8"/>
  <c r="F105" i="8"/>
  <c r="F106" i="8"/>
  <c r="F110" i="8"/>
  <c r="F111" i="8"/>
  <c r="H8" i="8"/>
  <c r="H9" i="8"/>
  <c r="H37" i="8"/>
  <c r="G86" i="8"/>
  <c r="G89" i="8"/>
  <c r="G88" i="8"/>
  <c r="G91" i="8"/>
  <c r="H35" i="8"/>
  <c r="H38" i="8"/>
  <c r="G90" i="8"/>
  <c r="G92" i="8"/>
  <c r="G93" i="8"/>
  <c r="G105" i="8"/>
  <c r="G106" i="8"/>
  <c r="G110" i="8"/>
  <c r="G111" i="8"/>
  <c r="I8" i="8"/>
  <c r="I9" i="8"/>
  <c r="I37" i="8"/>
  <c r="H86" i="8"/>
  <c r="H89" i="8"/>
  <c r="H88" i="8"/>
  <c r="H91" i="8"/>
  <c r="I35" i="8"/>
  <c r="I38" i="8"/>
  <c r="H90" i="8"/>
  <c r="H92" i="8"/>
  <c r="H93" i="8"/>
  <c r="H105" i="8"/>
  <c r="H106" i="8"/>
  <c r="H110" i="8"/>
  <c r="H111" i="8"/>
  <c r="J8" i="8"/>
  <c r="J9" i="8"/>
  <c r="J37" i="8"/>
  <c r="I86" i="8"/>
  <c r="I89" i="8"/>
  <c r="I88" i="8"/>
  <c r="I91" i="8"/>
  <c r="J35" i="8"/>
  <c r="J38" i="8"/>
  <c r="I90" i="8"/>
  <c r="I92" i="8"/>
  <c r="I93" i="8"/>
  <c r="I105" i="8"/>
  <c r="I106" i="8"/>
  <c r="I110" i="8"/>
  <c r="I111" i="8"/>
  <c r="K8" i="8"/>
  <c r="K9" i="8"/>
  <c r="K37" i="8"/>
  <c r="J86" i="8"/>
  <c r="J89" i="8"/>
  <c r="J88" i="8"/>
  <c r="J91" i="8"/>
  <c r="K35" i="8"/>
  <c r="K38" i="8"/>
  <c r="J90" i="8"/>
  <c r="J92" i="8"/>
  <c r="J93" i="8"/>
  <c r="J105" i="8"/>
  <c r="J106" i="8"/>
  <c r="J110" i="8"/>
  <c r="J111" i="8"/>
  <c r="L8" i="8"/>
  <c r="L9" i="8"/>
  <c r="L37" i="8"/>
  <c r="K86" i="8"/>
  <c r="K89" i="8"/>
  <c r="K88" i="8"/>
  <c r="K91" i="8"/>
  <c r="L35" i="8"/>
  <c r="L38" i="8"/>
  <c r="K90" i="8"/>
  <c r="K92" i="8"/>
  <c r="K93" i="8"/>
  <c r="K105" i="8"/>
  <c r="K106" i="8"/>
  <c r="K110" i="8"/>
  <c r="K111" i="8"/>
  <c r="M8" i="8"/>
  <c r="M9" i="8"/>
  <c r="M37" i="8"/>
  <c r="L86" i="8"/>
  <c r="L89" i="8"/>
  <c r="L88" i="8"/>
  <c r="L91" i="8"/>
  <c r="M35" i="8"/>
  <c r="M38" i="8"/>
  <c r="L90" i="8"/>
  <c r="L92" i="8"/>
  <c r="L93" i="8"/>
  <c r="L105" i="8"/>
  <c r="L106" i="8"/>
  <c r="L110" i="8"/>
  <c r="L111" i="8"/>
  <c r="N8" i="8"/>
  <c r="N9" i="8"/>
  <c r="N37" i="8"/>
  <c r="M86" i="8"/>
  <c r="M89" i="8"/>
  <c r="M88" i="8"/>
  <c r="M91" i="8"/>
  <c r="N35" i="8"/>
  <c r="N38" i="8"/>
  <c r="M90" i="8"/>
  <c r="M92" i="8"/>
  <c r="M93" i="8"/>
  <c r="M105" i="8"/>
  <c r="M106" i="8"/>
  <c r="M110" i="8"/>
  <c r="M111" i="8"/>
  <c r="O8" i="8"/>
  <c r="O9" i="8"/>
  <c r="O37" i="8"/>
  <c r="N86" i="8"/>
  <c r="N89" i="8"/>
  <c r="N88" i="8"/>
  <c r="N91" i="8"/>
  <c r="O35" i="8"/>
  <c r="O38" i="8"/>
  <c r="N90" i="8"/>
  <c r="N92" i="8"/>
  <c r="N93" i="8"/>
  <c r="N105" i="8"/>
  <c r="N106" i="8"/>
  <c r="N110" i="8"/>
  <c r="N111" i="8"/>
  <c r="P8" i="8"/>
  <c r="P9" i="8"/>
  <c r="P37" i="8"/>
  <c r="O86" i="8"/>
  <c r="O89" i="8"/>
  <c r="O88" i="8"/>
  <c r="O91" i="8"/>
  <c r="P35" i="8"/>
  <c r="P38" i="8"/>
  <c r="O90" i="8"/>
  <c r="O92" i="8"/>
  <c r="O93" i="8"/>
  <c r="O105" i="8"/>
  <c r="O106" i="8"/>
  <c r="O110" i="8"/>
  <c r="O111" i="8"/>
  <c r="Q8" i="8"/>
  <c r="Q9" i="8"/>
  <c r="Q37" i="8"/>
  <c r="P86" i="8"/>
  <c r="P89" i="8"/>
  <c r="P88" i="8"/>
  <c r="P91" i="8"/>
  <c r="Q35" i="8"/>
  <c r="Q38" i="8"/>
  <c r="P90" i="8"/>
  <c r="P92" i="8"/>
  <c r="P93" i="8"/>
  <c r="P105" i="8"/>
  <c r="P106" i="8"/>
  <c r="P110" i="8"/>
  <c r="P111" i="8"/>
  <c r="R8" i="8"/>
  <c r="R9" i="8"/>
  <c r="R37" i="8"/>
  <c r="Q86" i="8"/>
  <c r="Q89" i="8"/>
  <c r="Q88" i="8"/>
  <c r="Q91" i="8"/>
  <c r="R35" i="8"/>
  <c r="R38" i="8"/>
  <c r="Q90" i="8"/>
  <c r="Q92" i="8"/>
  <c r="Q93" i="8"/>
  <c r="Q105" i="8"/>
  <c r="Q106" i="8"/>
  <c r="Q110" i="8"/>
  <c r="Q111" i="8"/>
  <c r="S8" i="8"/>
  <c r="S9" i="8"/>
  <c r="S37" i="8"/>
  <c r="R86" i="8"/>
  <c r="R89" i="8"/>
  <c r="R88" i="8"/>
  <c r="R91" i="8"/>
  <c r="S35" i="8"/>
  <c r="S38" i="8"/>
  <c r="R90" i="8"/>
  <c r="R92" i="8"/>
  <c r="R93" i="8"/>
  <c r="R105" i="8"/>
  <c r="R106" i="8"/>
  <c r="R110" i="8"/>
  <c r="R111" i="8"/>
  <c r="T8" i="8"/>
  <c r="T9" i="8"/>
  <c r="T37" i="8"/>
  <c r="S86" i="8"/>
  <c r="S89" i="8"/>
  <c r="S88" i="8"/>
  <c r="S91" i="8"/>
  <c r="T35" i="8"/>
  <c r="T38" i="8"/>
  <c r="S90" i="8"/>
  <c r="S92" i="8"/>
  <c r="S93" i="8"/>
  <c r="S105" i="8"/>
  <c r="S106" i="8"/>
  <c r="S110" i="8"/>
  <c r="S111" i="8"/>
  <c r="U8" i="8"/>
  <c r="U9" i="8"/>
  <c r="U37" i="8"/>
  <c r="T86" i="8"/>
  <c r="T89" i="8"/>
  <c r="T88" i="8"/>
  <c r="T91" i="8"/>
  <c r="U35" i="8"/>
  <c r="U38" i="8"/>
  <c r="T90" i="8"/>
  <c r="T92" i="8"/>
  <c r="T93" i="8"/>
  <c r="T105" i="8"/>
  <c r="T106" i="8"/>
  <c r="T110" i="8"/>
  <c r="T111" i="8"/>
  <c r="V8" i="8"/>
  <c r="V9" i="8"/>
  <c r="V37" i="8"/>
  <c r="U86" i="8"/>
  <c r="U89" i="8"/>
  <c r="U88" i="8"/>
  <c r="U91" i="8"/>
  <c r="V35" i="8"/>
  <c r="V38" i="8"/>
  <c r="U90" i="8"/>
  <c r="U92" i="8"/>
  <c r="U93" i="8"/>
  <c r="U105" i="8"/>
  <c r="U106" i="8"/>
  <c r="U110" i="8"/>
  <c r="U111" i="8"/>
  <c r="W8" i="8"/>
  <c r="W9" i="8"/>
  <c r="W37" i="8"/>
  <c r="V86" i="8"/>
  <c r="V89" i="8"/>
  <c r="V88" i="8"/>
  <c r="V91" i="8"/>
  <c r="W35" i="8"/>
  <c r="W38" i="8"/>
  <c r="V90" i="8"/>
  <c r="V92" i="8"/>
  <c r="V93" i="8"/>
  <c r="V105" i="8"/>
  <c r="V106" i="8"/>
  <c r="V110" i="8"/>
  <c r="V111" i="8"/>
  <c r="X8" i="8"/>
  <c r="X9" i="8"/>
  <c r="X37" i="8"/>
  <c r="W86" i="8"/>
  <c r="W89" i="8"/>
  <c r="W88" i="8"/>
  <c r="W91" i="8"/>
  <c r="X35" i="8"/>
  <c r="X38" i="8"/>
  <c r="W90" i="8"/>
  <c r="W92" i="8"/>
  <c r="W93" i="8"/>
  <c r="W105" i="8"/>
  <c r="W106" i="8"/>
  <c r="W110" i="8"/>
  <c r="W111" i="8"/>
  <c r="Y8" i="8"/>
  <c r="Y9" i="8"/>
  <c r="Y37" i="8"/>
  <c r="X86" i="8"/>
  <c r="X89" i="8"/>
  <c r="X88" i="8"/>
  <c r="X91" i="8"/>
  <c r="Y35" i="8"/>
  <c r="Y38" i="8"/>
  <c r="X90" i="8"/>
  <c r="X92" i="8"/>
  <c r="X93" i="8"/>
  <c r="X105" i="8"/>
  <c r="X106" i="8"/>
  <c r="X110" i="8"/>
  <c r="X111" i="8"/>
  <c r="Z8" i="8"/>
  <c r="Z9" i="8"/>
  <c r="Z37" i="8"/>
  <c r="Y86" i="8"/>
  <c r="Y89" i="8"/>
  <c r="Y88" i="8"/>
  <c r="Y91" i="8"/>
  <c r="Z35" i="8"/>
  <c r="Z38" i="8"/>
  <c r="Y90" i="8"/>
  <c r="Y92" i="8"/>
  <c r="Y93" i="8"/>
  <c r="Y105" i="8"/>
  <c r="Y106" i="8"/>
  <c r="Y110" i="8"/>
  <c r="Y111" i="8"/>
  <c r="AA8" i="8"/>
  <c r="AA9" i="8"/>
  <c r="AA37" i="8"/>
  <c r="Z86" i="8"/>
  <c r="Z89" i="8"/>
  <c r="Z88" i="8"/>
  <c r="Z91" i="8"/>
  <c r="AA35" i="8"/>
  <c r="AA38" i="8"/>
  <c r="Z90" i="8"/>
  <c r="Z92" i="8"/>
  <c r="Z93" i="8"/>
  <c r="Z105" i="8"/>
  <c r="Z106" i="8"/>
  <c r="Z110" i="8"/>
  <c r="Z111" i="8"/>
  <c r="AB8" i="8"/>
  <c r="AB9" i="8"/>
  <c r="AB37" i="8"/>
  <c r="AA86" i="8"/>
  <c r="AA89" i="8"/>
  <c r="AA88" i="8"/>
  <c r="AA91" i="8"/>
  <c r="AB35" i="8"/>
  <c r="AB38" i="8"/>
  <c r="AA90" i="8"/>
  <c r="AA92" i="8"/>
  <c r="AA93" i="8"/>
  <c r="AA105" i="8"/>
  <c r="AA106" i="8"/>
  <c r="AA110" i="8"/>
  <c r="AA111" i="8"/>
  <c r="AB86" i="8"/>
  <c r="AB89" i="8"/>
  <c r="AB88" i="8"/>
  <c r="AB91" i="8"/>
  <c r="AC35" i="8"/>
  <c r="AC38" i="8"/>
  <c r="AB90" i="8"/>
  <c r="AB92" i="8"/>
  <c r="AB93" i="8"/>
  <c r="AB105" i="8"/>
  <c r="AB106" i="8"/>
  <c r="AB110" i="8"/>
  <c r="AB111" i="8"/>
  <c r="AC86" i="8"/>
  <c r="AC89" i="8"/>
  <c r="AC88" i="8"/>
  <c r="AC91" i="8"/>
  <c r="AC90" i="8"/>
  <c r="AC92" i="8"/>
  <c r="AC93" i="8"/>
  <c r="AC105" i="8"/>
  <c r="AC106" i="8"/>
  <c r="AC111" i="8"/>
  <c r="E115" i="8"/>
  <c r="C121" i="11"/>
  <c r="D136" i="11"/>
  <c r="C142" i="11"/>
  <c r="C145" i="11"/>
  <c r="C21" i="11"/>
  <c r="D21" i="1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D101" i="8"/>
  <c r="C105" i="11"/>
  <c r="C160" i="13"/>
  <c r="C161" i="13"/>
  <c r="C174" i="13"/>
  <c r="C222" i="13"/>
  <c r="C226" i="13"/>
  <c r="C230" i="13"/>
  <c r="C231" i="13"/>
  <c r="C239" i="13"/>
  <c r="D160" i="13"/>
  <c r="D161" i="13"/>
  <c r="D174" i="13"/>
  <c r="D222" i="13"/>
  <c r="D171" i="13"/>
  <c r="D223" i="13"/>
  <c r="D225" i="13"/>
  <c r="D226" i="13"/>
  <c r="D230" i="13"/>
  <c r="D231" i="13"/>
  <c r="D239" i="13"/>
  <c r="E160" i="13"/>
  <c r="E161" i="13"/>
  <c r="E174" i="13"/>
  <c r="E222" i="13"/>
  <c r="E171" i="13"/>
  <c r="E223" i="13"/>
  <c r="E225" i="13"/>
  <c r="E226" i="13"/>
  <c r="E230" i="13"/>
  <c r="E231" i="13"/>
  <c r="E239" i="13"/>
  <c r="G160" i="13"/>
  <c r="F160" i="13"/>
  <c r="F161" i="13"/>
  <c r="G161" i="13"/>
  <c r="G174" i="13"/>
  <c r="F222" i="13"/>
  <c r="G171" i="13"/>
  <c r="F223" i="13"/>
  <c r="F225" i="13"/>
  <c r="F226" i="13"/>
  <c r="F230" i="13"/>
  <c r="F231" i="13"/>
  <c r="F239" i="13"/>
  <c r="I160" i="13"/>
  <c r="H160" i="13"/>
  <c r="H161" i="13"/>
  <c r="I161" i="13"/>
  <c r="I174" i="13"/>
  <c r="G222" i="13"/>
  <c r="I171" i="13"/>
  <c r="G223" i="13"/>
  <c r="G225" i="13"/>
  <c r="G226" i="13"/>
  <c r="G230" i="13"/>
  <c r="G231" i="13"/>
  <c r="G239" i="13"/>
  <c r="J160" i="13"/>
  <c r="J161" i="13"/>
  <c r="J174" i="13"/>
  <c r="H222" i="13"/>
  <c r="J171" i="13"/>
  <c r="H223" i="13"/>
  <c r="H225" i="13"/>
  <c r="H226" i="13"/>
  <c r="H230" i="13"/>
  <c r="H231" i="13"/>
  <c r="H239" i="13"/>
  <c r="K160" i="13"/>
  <c r="K161" i="13"/>
  <c r="K174" i="13"/>
  <c r="I222" i="13"/>
  <c r="K171" i="13"/>
  <c r="I223" i="13"/>
  <c r="I225" i="13"/>
  <c r="I226" i="13"/>
  <c r="I230" i="13"/>
  <c r="I231" i="13"/>
  <c r="I239" i="13"/>
  <c r="M160" i="13"/>
  <c r="L160" i="13"/>
  <c r="L161" i="13"/>
  <c r="M161" i="13"/>
  <c r="M174" i="13"/>
  <c r="J222" i="13"/>
  <c r="M171" i="13"/>
  <c r="J223" i="13"/>
  <c r="J225" i="13"/>
  <c r="J226" i="13"/>
  <c r="J230" i="13"/>
  <c r="J231" i="13"/>
  <c r="J239" i="13"/>
  <c r="N160" i="13"/>
  <c r="N161" i="13"/>
  <c r="N174" i="13"/>
  <c r="K222" i="13"/>
  <c r="N171" i="13"/>
  <c r="K223" i="13"/>
  <c r="K225" i="13"/>
  <c r="K226" i="13"/>
  <c r="K230" i="13"/>
  <c r="K231" i="13"/>
  <c r="K239" i="13"/>
  <c r="O160" i="13"/>
  <c r="O161" i="13"/>
  <c r="O174" i="13"/>
  <c r="L222" i="13"/>
  <c r="O171" i="13"/>
  <c r="L223" i="13"/>
  <c r="L225" i="13"/>
  <c r="L226" i="13"/>
  <c r="L230" i="13"/>
  <c r="L231" i="13"/>
  <c r="L239" i="13"/>
  <c r="Q160" i="13"/>
  <c r="P160" i="13"/>
  <c r="P161" i="13"/>
  <c r="Q161" i="13"/>
  <c r="Q174" i="13"/>
  <c r="M222" i="13"/>
  <c r="Q171" i="13"/>
  <c r="M223" i="13"/>
  <c r="M225" i="13"/>
  <c r="M226" i="13"/>
  <c r="M230" i="13"/>
  <c r="M231" i="13"/>
  <c r="M239" i="13"/>
  <c r="R160" i="13"/>
  <c r="R161" i="13"/>
  <c r="R174" i="13"/>
  <c r="N222" i="13"/>
  <c r="R171" i="13"/>
  <c r="N223" i="13"/>
  <c r="N225" i="13"/>
  <c r="N226" i="13"/>
  <c r="N230" i="13"/>
  <c r="N231" i="13"/>
  <c r="N239" i="13"/>
  <c r="S160" i="13"/>
  <c r="S161" i="13"/>
  <c r="S174" i="13"/>
  <c r="O222" i="13"/>
  <c r="S171" i="13"/>
  <c r="O223" i="13"/>
  <c r="O225" i="13"/>
  <c r="O226" i="13"/>
  <c r="O230" i="13"/>
  <c r="O231" i="13"/>
  <c r="O239" i="13"/>
  <c r="U160" i="13"/>
  <c r="T160" i="13"/>
  <c r="T161" i="13"/>
  <c r="U161" i="13"/>
  <c r="U174" i="13"/>
  <c r="P222" i="13"/>
  <c r="U171" i="13"/>
  <c r="P223" i="13"/>
  <c r="P225" i="13"/>
  <c r="P226" i="13"/>
  <c r="P230" i="13"/>
  <c r="P231" i="13"/>
  <c r="P239" i="13"/>
  <c r="V160" i="13"/>
  <c r="V161" i="13"/>
  <c r="V174" i="13"/>
  <c r="Q222" i="13"/>
  <c r="V171" i="13"/>
  <c r="Q223" i="13"/>
  <c r="Q225" i="13"/>
  <c r="Q226" i="13"/>
  <c r="Q230" i="13"/>
  <c r="Q231" i="13"/>
  <c r="Q239" i="13"/>
  <c r="W160" i="13"/>
  <c r="W161" i="13"/>
  <c r="W174" i="13"/>
  <c r="R222" i="13"/>
  <c r="W171" i="13"/>
  <c r="R223" i="13"/>
  <c r="R225" i="13"/>
  <c r="R226" i="13"/>
  <c r="R230" i="13"/>
  <c r="R231" i="13"/>
  <c r="R239" i="13"/>
  <c r="Y160" i="13"/>
  <c r="X160" i="13"/>
  <c r="X161" i="13"/>
  <c r="Y161" i="13"/>
  <c r="Y174" i="13"/>
  <c r="S222" i="13"/>
  <c r="Y171" i="13"/>
  <c r="S223" i="13"/>
  <c r="S225" i="13"/>
  <c r="S226" i="13"/>
  <c r="S230" i="13"/>
  <c r="S231" i="13"/>
  <c r="S239" i="13"/>
  <c r="Z160" i="13"/>
  <c r="Z161" i="13"/>
  <c r="Z174" i="13"/>
  <c r="T222" i="13"/>
  <c r="Z171" i="13"/>
  <c r="T223" i="13"/>
  <c r="T225" i="13"/>
  <c r="T226" i="13"/>
  <c r="T230" i="13"/>
  <c r="T231" i="13"/>
  <c r="T239" i="13"/>
  <c r="AA160" i="13"/>
  <c r="AA161" i="13"/>
  <c r="AA174" i="13"/>
  <c r="U222" i="13"/>
  <c r="AA171" i="13"/>
  <c r="U223" i="13"/>
  <c r="U225" i="13"/>
  <c r="U226" i="13"/>
  <c r="U230" i="13"/>
  <c r="U231" i="13"/>
  <c r="U239" i="13"/>
  <c r="AC160" i="13"/>
  <c r="AB160" i="13"/>
  <c r="AB161" i="13"/>
  <c r="AC161" i="13"/>
  <c r="AC174" i="13"/>
  <c r="V222" i="13"/>
  <c r="AC171" i="13"/>
  <c r="V223" i="13"/>
  <c r="V225" i="13"/>
  <c r="V226" i="13"/>
  <c r="V230" i="13"/>
  <c r="V231" i="13"/>
  <c r="V239" i="13"/>
  <c r="W222" i="13"/>
  <c r="W223" i="13"/>
  <c r="W225" i="13"/>
  <c r="W226" i="13"/>
  <c r="W230" i="13"/>
  <c r="W231" i="13"/>
  <c r="W239" i="13"/>
  <c r="X222" i="13"/>
  <c r="X223" i="13"/>
  <c r="X225" i="13"/>
  <c r="X226" i="13"/>
  <c r="X230" i="13"/>
  <c r="X231" i="13"/>
  <c r="X239" i="13"/>
  <c r="Y222" i="13"/>
  <c r="Y223" i="13"/>
  <c r="Y225" i="13"/>
  <c r="Y226" i="13"/>
  <c r="Y230" i="13"/>
  <c r="Y231" i="13"/>
  <c r="Y239" i="13"/>
  <c r="Z222" i="13"/>
  <c r="Z223" i="13"/>
  <c r="Z225" i="13"/>
  <c r="Z226" i="13"/>
  <c r="Z230" i="13"/>
  <c r="Z231" i="13"/>
  <c r="Z239" i="13"/>
  <c r="AA222" i="13"/>
  <c r="AA223" i="13"/>
  <c r="AA225" i="13"/>
  <c r="AA226" i="13"/>
  <c r="AA230" i="13"/>
  <c r="AA231" i="13"/>
  <c r="AA239" i="13"/>
  <c r="AB222" i="13"/>
  <c r="AB223" i="13"/>
  <c r="AB225" i="13"/>
  <c r="AB226" i="13"/>
  <c r="AB230" i="13"/>
  <c r="AB231" i="13"/>
  <c r="AB239" i="13"/>
  <c r="AC222" i="13"/>
  <c r="AC223" i="13"/>
  <c r="AC225" i="13"/>
  <c r="AC226" i="13"/>
  <c r="AC230" i="13"/>
  <c r="AC231" i="13"/>
  <c r="AC239" i="13"/>
  <c r="C244" i="13"/>
  <c r="E347" i="13"/>
  <c r="C262" i="13"/>
  <c r="C310" i="13"/>
  <c r="C314" i="13"/>
  <c r="C318" i="13"/>
  <c r="C319" i="13"/>
  <c r="C327" i="13"/>
  <c r="E262" i="13"/>
  <c r="D310" i="13"/>
  <c r="E259" i="13"/>
  <c r="D311" i="13"/>
  <c r="D313" i="13"/>
  <c r="D314" i="13"/>
  <c r="D318" i="13"/>
  <c r="D319" i="13"/>
  <c r="D327" i="13"/>
  <c r="F262" i="13"/>
  <c r="E310" i="13"/>
  <c r="F259" i="13"/>
  <c r="E311" i="13"/>
  <c r="E313" i="13"/>
  <c r="E314" i="13"/>
  <c r="E318" i="13"/>
  <c r="E319" i="13"/>
  <c r="E327" i="13"/>
  <c r="F310" i="13"/>
  <c r="F311" i="13"/>
  <c r="F313" i="13"/>
  <c r="F314" i="13"/>
  <c r="F318" i="13"/>
  <c r="F319" i="13"/>
  <c r="F327" i="13"/>
  <c r="G262" i="13"/>
  <c r="G310" i="13"/>
  <c r="G259" i="13"/>
  <c r="G311" i="13"/>
  <c r="G313" i="13"/>
  <c r="G314" i="13"/>
  <c r="G318" i="13"/>
  <c r="G319" i="13"/>
  <c r="G327" i="13"/>
  <c r="H262" i="13"/>
  <c r="H310" i="13"/>
  <c r="H259" i="13"/>
  <c r="H311" i="13"/>
  <c r="H313" i="13"/>
  <c r="H314" i="13"/>
  <c r="H318" i="13"/>
  <c r="H319" i="13"/>
  <c r="H327" i="13"/>
  <c r="I310" i="13"/>
  <c r="I311" i="13"/>
  <c r="I313" i="13"/>
  <c r="I314" i="13"/>
  <c r="I318" i="13"/>
  <c r="I319" i="13"/>
  <c r="I327" i="13"/>
  <c r="I262" i="13"/>
  <c r="J310" i="13"/>
  <c r="I259" i="13"/>
  <c r="J311" i="13"/>
  <c r="J313" i="13"/>
  <c r="J314" i="13"/>
  <c r="J318" i="13"/>
  <c r="J319" i="13"/>
  <c r="J327" i="13"/>
  <c r="J262" i="13"/>
  <c r="K310" i="13"/>
  <c r="J259" i="13"/>
  <c r="K311" i="13"/>
  <c r="K313" i="13"/>
  <c r="K314" i="13"/>
  <c r="K318" i="13"/>
  <c r="K319" i="13"/>
  <c r="K327" i="13"/>
  <c r="K262" i="13"/>
  <c r="L310" i="13"/>
  <c r="K259" i="13"/>
  <c r="L311" i="13"/>
  <c r="L313" i="13"/>
  <c r="L314" i="13"/>
  <c r="L318" i="13"/>
  <c r="L319" i="13"/>
  <c r="L327" i="13"/>
  <c r="L262" i="13"/>
  <c r="M310" i="13"/>
  <c r="L259" i="13"/>
  <c r="M311" i="13"/>
  <c r="M313" i="13"/>
  <c r="M314" i="13"/>
  <c r="M318" i="13"/>
  <c r="M319" i="13"/>
  <c r="M327" i="13"/>
  <c r="N310" i="13"/>
  <c r="N311" i="13"/>
  <c r="N313" i="13"/>
  <c r="N314" i="13"/>
  <c r="N318" i="13"/>
  <c r="N319" i="13"/>
  <c r="N327" i="13"/>
  <c r="M262" i="13"/>
  <c r="O310" i="13"/>
  <c r="M259" i="13"/>
  <c r="O311" i="13"/>
  <c r="O313" i="13"/>
  <c r="O314" i="13"/>
  <c r="O318" i="13"/>
  <c r="O319" i="13"/>
  <c r="O327" i="13"/>
  <c r="N262" i="13"/>
  <c r="P310" i="13"/>
  <c r="N259" i="13"/>
  <c r="P311" i="13"/>
  <c r="P313" i="13"/>
  <c r="P314" i="13"/>
  <c r="P318" i="13"/>
  <c r="P319" i="13"/>
  <c r="P327" i="13"/>
  <c r="O262" i="13"/>
  <c r="Q310" i="13"/>
  <c r="O259" i="13"/>
  <c r="Q311" i="13"/>
  <c r="Q313" i="13"/>
  <c r="Q314" i="13"/>
  <c r="Q318" i="13"/>
  <c r="Q319" i="13"/>
  <c r="Q327" i="13"/>
  <c r="P262" i="13"/>
  <c r="R310" i="13"/>
  <c r="P259" i="13"/>
  <c r="R311" i="13"/>
  <c r="R313" i="13"/>
  <c r="R314" i="13"/>
  <c r="R318" i="13"/>
  <c r="R319" i="13"/>
  <c r="R327" i="13"/>
  <c r="S310" i="13"/>
  <c r="S311" i="13"/>
  <c r="S313" i="13"/>
  <c r="S314" i="13"/>
  <c r="S318" i="13"/>
  <c r="S319" i="13"/>
  <c r="S327" i="13"/>
  <c r="Q262" i="13"/>
  <c r="T310" i="13"/>
  <c r="Q259" i="13"/>
  <c r="T311" i="13"/>
  <c r="T313" i="13"/>
  <c r="T314" i="13"/>
  <c r="T318" i="13"/>
  <c r="T319" i="13"/>
  <c r="T327" i="13"/>
  <c r="R262" i="13"/>
  <c r="U310" i="13"/>
  <c r="R259" i="13"/>
  <c r="U311" i="13"/>
  <c r="U313" i="13"/>
  <c r="U314" i="13"/>
  <c r="U318" i="13"/>
  <c r="U319" i="13"/>
  <c r="U327" i="13"/>
  <c r="S262" i="13"/>
  <c r="V310" i="13"/>
  <c r="S259" i="13"/>
  <c r="V311" i="13"/>
  <c r="V313" i="13"/>
  <c r="V314" i="13"/>
  <c r="V318" i="13"/>
  <c r="V319" i="13"/>
  <c r="V327" i="13"/>
  <c r="T262" i="13"/>
  <c r="W310" i="13"/>
  <c r="T259" i="13"/>
  <c r="W311" i="13"/>
  <c r="W313" i="13"/>
  <c r="W314" i="13"/>
  <c r="W318" i="13"/>
  <c r="W319" i="13"/>
  <c r="W327" i="13"/>
  <c r="AC262" i="13"/>
  <c r="X310" i="13"/>
  <c r="AC259" i="13"/>
  <c r="X311" i="13"/>
  <c r="X313" i="13"/>
  <c r="X314" i="13"/>
  <c r="X318" i="13"/>
  <c r="X319" i="13"/>
  <c r="X327" i="13"/>
  <c r="Y310" i="13"/>
  <c r="Y311" i="13"/>
  <c r="Y313" i="13"/>
  <c r="Y314" i="13"/>
  <c r="Y318" i="13"/>
  <c r="Y319" i="13"/>
  <c r="Y327" i="13"/>
  <c r="Z310" i="13"/>
  <c r="Z311" i="13"/>
  <c r="Z313" i="13"/>
  <c r="Z314" i="13"/>
  <c r="Z318" i="13"/>
  <c r="Z319" i="13"/>
  <c r="Z327" i="13"/>
  <c r="AA310" i="13"/>
  <c r="AA311" i="13"/>
  <c r="AA313" i="13"/>
  <c r="AA314" i="13"/>
  <c r="AA318" i="13"/>
  <c r="AA319" i="13"/>
  <c r="AA327" i="13"/>
  <c r="AB310" i="13"/>
  <c r="AB311" i="13"/>
  <c r="AB313" i="13"/>
  <c r="AB314" i="13"/>
  <c r="AB318" i="13"/>
  <c r="AB319" i="13"/>
  <c r="AB327" i="13"/>
  <c r="AC310" i="13"/>
  <c r="AC311" i="13"/>
  <c r="AC313" i="13"/>
  <c r="AC314" i="13"/>
  <c r="AC318" i="13"/>
  <c r="AC319" i="13"/>
  <c r="AC327" i="13"/>
  <c r="C332" i="13"/>
  <c r="F347" i="13"/>
  <c r="E354" i="13"/>
  <c r="E361" i="13"/>
  <c r="C337" i="13"/>
  <c r="F351" i="13"/>
  <c r="C249" i="13"/>
  <c r="E351" i="13"/>
  <c r="E358" i="13"/>
  <c r="C381" i="13"/>
  <c r="E375" i="13"/>
  <c r="C389" i="13"/>
  <c r="C390" i="13"/>
  <c r="D390" i="13"/>
  <c r="D389" i="13"/>
  <c r="E376" i="13"/>
  <c r="C386" i="13"/>
  <c r="D386" i="13"/>
  <c r="C328" i="13"/>
  <c r="C329" i="13"/>
  <c r="D328" i="13"/>
  <c r="D329" i="13"/>
  <c r="E328" i="13"/>
  <c r="E329" i="13"/>
  <c r="F328" i="13"/>
  <c r="F329" i="13"/>
  <c r="G328" i="13"/>
  <c r="G329" i="13"/>
  <c r="H328" i="13"/>
  <c r="H329" i="13"/>
  <c r="I328" i="13"/>
  <c r="I329" i="13"/>
  <c r="J328" i="13"/>
  <c r="J329" i="13"/>
  <c r="K328" i="13"/>
  <c r="K329" i="13"/>
  <c r="L328" i="13"/>
  <c r="L329" i="13"/>
  <c r="M328" i="13"/>
  <c r="M329" i="13"/>
  <c r="N328" i="13"/>
  <c r="N329" i="13"/>
  <c r="O328" i="13"/>
  <c r="O329" i="13"/>
  <c r="P328" i="13"/>
  <c r="P329" i="13"/>
  <c r="Q328" i="13"/>
  <c r="Q329" i="13"/>
  <c r="R328" i="13"/>
  <c r="R329" i="13"/>
  <c r="S328" i="13"/>
  <c r="S329" i="13"/>
  <c r="T328" i="13"/>
  <c r="T329" i="13"/>
  <c r="U328" i="13"/>
  <c r="U329" i="13"/>
  <c r="V328" i="13"/>
  <c r="V329" i="13"/>
  <c r="W328" i="13"/>
  <c r="W329" i="13"/>
  <c r="X328" i="13"/>
  <c r="X329" i="13"/>
  <c r="Y328" i="13"/>
  <c r="Y329" i="13"/>
  <c r="Z328" i="13"/>
  <c r="Z329" i="13"/>
  <c r="AA328" i="13"/>
  <c r="AA329" i="13"/>
  <c r="AB328" i="13"/>
  <c r="AB329" i="13"/>
  <c r="AC328" i="13"/>
  <c r="AC329" i="13"/>
  <c r="C334" i="13"/>
  <c r="F350" i="13"/>
  <c r="C240" i="13"/>
  <c r="C241" i="13"/>
  <c r="D240" i="13"/>
  <c r="D241" i="13"/>
  <c r="E240" i="13"/>
  <c r="E241" i="13"/>
  <c r="F240" i="13"/>
  <c r="F241" i="13"/>
  <c r="G240" i="13"/>
  <c r="G241" i="13"/>
  <c r="H240" i="13"/>
  <c r="H241" i="13"/>
  <c r="I240" i="13"/>
  <c r="I241" i="13"/>
  <c r="J240" i="13"/>
  <c r="J241" i="13"/>
  <c r="K240" i="13"/>
  <c r="K241" i="13"/>
  <c r="L240" i="13"/>
  <c r="L241" i="13"/>
  <c r="M240" i="13"/>
  <c r="M241" i="13"/>
  <c r="N240" i="13"/>
  <c r="N241" i="13"/>
  <c r="O240" i="13"/>
  <c r="O241" i="13"/>
  <c r="P240" i="13"/>
  <c r="P241" i="13"/>
  <c r="Q240" i="13"/>
  <c r="Q241" i="13"/>
  <c r="R240" i="13"/>
  <c r="R241" i="13"/>
  <c r="S240" i="13"/>
  <c r="S241" i="13"/>
  <c r="T240" i="13"/>
  <c r="T241" i="13"/>
  <c r="U240" i="13"/>
  <c r="U241" i="13"/>
  <c r="V240" i="13"/>
  <c r="V241" i="13"/>
  <c r="W240" i="13"/>
  <c r="W241" i="13"/>
  <c r="X240" i="13"/>
  <c r="X241" i="13"/>
  <c r="Y240" i="13"/>
  <c r="Y241" i="13"/>
  <c r="Z240" i="13"/>
  <c r="Z241" i="13"/>
  <c r="AA240" i="13"/>
  <c r="AA241" i="13"/>
  <c r="AB240" i="13"/>
  <c r="AB241" i="13"/>
  <c r="AC240" i="13"/>
  <c r="AC241" i="13"/>
  <c r="C246" i="13"/>
  <c r="E350" i="13"/>
  <c r="E356" i="13"/>
  <c r="I357" i="13"/>
  <c r="F363" i="13"/>
  <c r="C333" i="13"/>
  <c r="F349" i="13"/>
  <c r="C245" i="13"/>
  <c r="E349" i="13"/>
  <c r="E355" i="13"/>
  <c r="I356" i="13"/>
  <c r="F362" i="13"/>
  <c r="I355" i="13"/>
  <c r="F361" i="13"/>
  <c r="E363" i="13"/>
  <c r="E362" i="13"/>
  <c r="AC190" i="13"/>
  <c r="D189" i="13"/>
  <c r="D190" i="13"/>
  <c r="D191" i="13"/>
  <c r="D196" i="13"/>
  <c r="D200" i="13"/>
  <c r="D199" i="13"/>
  <c r="D201" i="13"/>
  <c r="E189" i="13"/>
  <c r="E190" i="13"/>
  <c r="E191" i="13"/>
  <c r="E196" i="13"/>
  <c r="E200" i="13"/>
  <c r="E199" i="13"/>
  <c r="E201" i="13"/>
  <c r="F190" i="13"/>
  <c r="F191" i="13"/>
  <c r="F196" i="13"/>
  <c r="F200" i="13"/>
  <c r="F199" i="13"/>
  <c r="F201" i="13"/>
  <c r="G190" i="13"/>
  <c r="G191" i="13"/>
  <c r="G196" i="13"/>
  <c r="G200" i="13"/>
  <c r="G199" i="13"/>
  <c r="G201" i="13"/>
  <c r="H190" i="13"/>
  <c r="H191" i="13"/>
  <c r="H196" i="13"/>
  <c r="H200" i="13"/>
  <c r="H199" i="13"/>
  <c r="H201" i="13"/>
  <c r="I190" i="13"/>
  <c r="I191" i="13"/>
  <c r="I196" i="13"/>
  <c r="I200" i="13"/>
  <c r="I199" i="13"/>
  <c r="I201" i="13"/>
  <c r="J190" i="13"/>
  <c r="J191" i="13"/>
  <c r="J196" i="13"/>
  <c r="J200" i="13"/>
  <c r="J199" i="13"/>
  <c r="J201" i="13"/>
  <c r="K190" i="13"/>
  <c r="K191" i="13"/>
  <c r="K196" i="13"/>
  <c r="K200" i="13"/>
  <c r="K199" i="13"/>
  <c r="K201" i="13"/>
  <c r="L190" i="13"/>
  <c r="L191" i="13"/>
  <c r="L196" i="13"/>
  <c r="L200" i="13"/>
  <c r="L199" i="13"/>
  <c r="L201" i="13"/>
  <c r="M190" i="13"/>
  <c r="M191" i="13"/>
  <c r="M196" i="13"/>
  <c r="M200" i="13"/>
  <c r="M199" i="13"/>
  <c r="M201" i="13"/>
  <c r="N190" i="13"/>
  <c r="N191" i="13"/>
  <c r="N196" i="13"/>
  <c r="N200" i="13"/>
  <c r="N199" i="13"/>
  <c r="N201" i="13"/>
  <c r="O190" i="13"/>
  <c r="O191" i="13"/>
  <c r="O196" i="13"/>
  <c r="O200" i="13"/>
  <c r="O199" i="13"/>
  <c r="O201" i="13"/>
  <c r="P190" i="13"/>
  <c r="P191" i="13"/>
  <c r="P196" i="13"/>
  <c r="P200" i="13"/>
  <c r="P199" i="13"/>
  <c r="P201" i="13"/>
  <c r="Q190" i="13"/>
  <c r="Q191" i="13"/>
  <c r="Q196" i="13"/>
  <c r="Q200" i="13"/>
  <c r="Q199" i="13"/>
  <c r="Q201" i="13"/>
  <c r="R190" i="13"/>
  <c r="R191" i="13"/>
  <c r="R196" i="13"/>
  <c r="R200" i="13"/>
  <c r="R199" i="13"/>
  <c r="R201" i="13"/>
  <c r="S190" i="13"/>
  <c r="S191" i="13"/>
  <c r="S196" i="13"/>
  <c r="S200" i="13"/>
  <c r="S199" i="13"/>
  <c r="S201" i="13"/>
  <c r="T190" i="13"/>
  <c r="T191" i="13"/>
  <c r="T196" i="13"/>
  <c r="T200" i="13"/>
  <c r="T199" i="13"/>
  <c r="T201" i="13"/>
  <c r="U190" i="13"/>
  <c r="U191" i="13"/>
  <c r="U196" i="13"/>
  <c r="U200" i="13"/>
  <c r="U199" i="13"/>
  <c r="U201" i="13"/>
  <c r="V190" i="13"/>
  <c r="V191" i="13"/>
  <c r="V196" i="13"/>
  <c r="V200" i="13"/>
  <c r="V199" i="13"/>
  <c r="V201" i="13"/>
  <c r="W190" i="13"/>
  <c r="W191" i="13"/>
  <c r="W196" i="13"/>
  <c r="W200" i="13"/>
  <c r="W199" i="13"/>
  <c r="W201" i="13"/>
  <c r="X190" i="13"/>
  <c r="X191" i="13"/>
  <c r="X196" i="13"/>
  <c r="X200" i="13"/>
  <c r="X199" i="13"/>
  <c r="X201" i="13"/>
  <c r="Y190" i="13"/>
  <c r="Y191" i="13"/>
  <c r="Y196" i="13"/>
  <c r="Y200" i="13"/>
  <c r="Y199" i="13"/>
  <c r="Y201" i="13"/>
  <c r="Z190" i="13"/>
  <c r="Z191" i="13"/>
  <c r="Z196" i="13"/>
  <c r="Z200" i="13"/>
  <c r="Z199" i="13"/>
  <c r="Z201" i="13"/>
  <c r="AA190" i="13"/>
  <c r="AA191" i="13"/>
  <c r="AA196" i="13"/>
  <c r="AA200" i="13"/>
  <c r="AA199" i="13"/>
  <c r="AA201" i="13"/>
  <c r="AB190" i="13"/>
  <c r="AB191" i="13"/>
  <c r="AB196" i="13"/>
  <c r="AB200" i="13"/>
  <c r="AB199" i="13"/>
  <c r="AB201" i="13"/>
  <c r="AC191" i="13"/>
  <c r="AC196" i="13"/>
  <c r="AC200" i="13"/>
  <c r="AC199" i="13"/>
  <c r="AC201" i="13"/>
  <c r="K211" i="13"/>
  <c r="L211" i="13"/>
  <c r="M211" i="13"/>
  <c r="N211" i="13"/>
  <c r="O211" i="13"/>
  <c r="P211" i="13"/>
  <c r="Q211" i="13"/>
  <c r="R211" i="13"/>
  <c r="S211" i="13"/>
  <c r="T211" i="13"/>
  <c r="U211" i="13"/>
  <c r="V211" i="13"/>
  <c r="W211" i="13"/>
  <c r="X211" i="13"/>
  <c r="Y211" i="13"/>
  <c r="Z211" i="13"/>
  <c r="AA211" i="13"/>
  <c r="AB211" i="13"/>
  <c r="AC211" i="13"/>
  <c r="J211" i="13"/>
  <c r="I211" i="13"/>
  <c r="H211" i="13"/>
  <c r="G211" i="13"/>
  <c r="F211" i="13"/>
  <c r="E211" i="13"/>
  <c r="D211" i="13"/>
  <c r="C211" i="13"/>
  <c r="C212" i="13"/>
  <c r="D212" i="13"/>
  <c r="E212" i="13"/>
  <c r="F212" i="13"/>
  <c r="G212" i="13"/>
  <c r="H212" i="13"/>
  <c r="I212" i="13"/>
  <c r="J212" i="13"/>
  <c r="C216" i="13"/>
  <c r="D216" i="13"/>
  <c r="C217" i="13"/>
  <c r="E216" i="13"/>
  <c r="D217" i="13"/>
  <c r="F216" i="13"/>
  <c r="E217" i="13"/>
  <c r="G216" i="13"/>
  <c r="F217" i="13"/>
  <c r="H216" i="13"/>
  <c r="G217" i="13"/>
  <c r="I216" i="13"/>
  <c r="H217" i="13"/>
  <c r="J216" i="13"/>
  <c r="I217" i="13"/>
  <c r="K216" i="13"/>
  <c r="J217" i="13"/>
  <c r="L216" i="13"/>
  <c r="K217" i="13"/>
  <c r="M216" i="13"/>
  <c r="L217" i="13"/>
  <c r="N216" i="13"/>
  <c r="M217" i="13"/>
  <c r="O216" i="13"/>
  <c r="N217" i="13"/>
  <c r="P216" i="13"/>
  <c r="O217" i="13"/>
  <c r="Q216" i="13"/>
  <c r="P217" i="13"/>
  <c r="R216" i="13"/>
  <c r="Q217" i="13"/>
  <c r="S216" i="13"/>
  <c r="R217" i="13"/>
  <c r="T216" i="13"/>
  <c r="S217" i="13"/>
  <c r="U216" i="13"/>
  <c r="T217" i="13"/>
  <c r="V216" i="13"/>
  <c r="U217" i="13"/>
  <c r="W216" i="13"/>
  <c r="V217" i="13"/>
  <c r="X216" i="13"/>
  <c r="W217" i="13"/>
  <c r="Y216" i="13"/>
  <c r="X217" i="13"/>
  <c r="Z216" i="13"/>
  <c r="Y217" i="13"/>
  <c r="AA216" i="13"/>
  <c r="Z217" i="13"/>
  <c r="AB216" i="13"/>
  <c r="AA217" i="13"/>
  <c r="AC216" i="13"/>
  <c r="AB217" i="13"/>
  <c r="C232" i="13"/>
  <c r="D232" i="13"/>
  <c r="E232" i="13"/>
  <c r="F232" i="13"/>
  <c r="G232" i="13"/>
  <c r="H232" i="13"/>
  <c r="I232" i="13"/>
  <c r="J232" i="13"/>
  <c r="K232" i="13"/>
  <c r="L232" i="13"/>
  <c r="M232" i="13"/>
  <c r="N232" i="13"/>
  <c r="O232" i="13"/>
  <c r="P232" i="13"/>
  <c r="Q232" i="13"/>
  <c r="R232" i="13"/>
  <c r="S232" i="13"/>
  <c r="T232" i="13"/>
  <c r="U232" i="13"/>
  <c r="V232" i="13"/>
  <c r="W232" i="13"/>
  <c r="X232" i="13"/>
  <c r="Y232" i="13"/>
  <c r="Z232" i="13"/>
  <c r="AA232" i="13"/>
  <c r="AB232" i="13"/>
  <c r="AC232" i="13"/>
  <c r="AC277" i="13"/>
  <c r="AC278" i="13"/>
  <c r="C281" i="13"/>
  <c r="D245" i="13"/>
  <c r="D281" i="13"/>
  <c r="I244" i="13"/>
  <c r="I245" i="13"/>
  <c r="I281" i="13"/>
  <c r="C282" i="13"/>
  <c r="D246" i="13"/>
  <c r="D282" i="13"/>
  <c r="D259" i="13"/>
  <c r="D277" i="13"/>
  <c r="D278" i="13"/>
  <c r="D279" i="13"/>
  <c r="D284" i="13"/>
  <c r="D288" i="13"/>
  <c r="D289" i="13"/>
  <c r="E277" i="13"/>
  <c r="E278" i="13"/>
  <c r="E279" i="13"/>
  <c r="E284" i="13"/>
  <c r="E288" i="13"/>
  <c r="E289" i="13"/>
  <c r="F277" i="13"/>
  <c r="F278" i="13"/>
  <c r="F279" i="13"/>
  <c r="F284" i="13"/>
  <c r="F288" i="13"/>
  <c r="F289" i="13"/>
  <c r="G277" i="13"/>
  <c r="G278" i="13"/>
  <c r="G279" i="13"/>
  <c r="G284" i="13"/>
  <c r="G288" i="13"/>
  <c r="G289" i="13"/>
  <c r="H277" i="13"/>
  <c r="H278" i="13"/>
  <c r="H279" i="13"/>
  <c r="H284" i="13"/>
  <c r="H288" i="13"/>
  <c r="H289" i="13"/>
  <c r="I277" i="13"/>
  <c r="I278" i="13"/>
  <c r="I279" i="13"/>
  <c r="I284" i="13"/>
  <c r="I288" i="13"/>
  <c r="I289" i="13"/>
  <c r="J277" i="13"/>
  <c r="J278" i="13"/>
  <c r="J279" i="13"/>
  <c r="J284" i="13"/>
  <c r="J288" i="13"/>
  <c r="J289" i="13"/>
  <c r="K277" i="13"/>
  <c r="K278" i="13"/>
  <c r="K279" i="13"/>
  <c r="K284" i="13"/>
  <c r="K288" i="13"/>
  <c r="K289" i="13"/>
  <c r="L277" i="13"/>
  <c r="L278" i="13"/>
  <c r="L279" i="13"/>
  <c r="L284" i="13"/>
  <c r="L288" i="13"/>
  <c r="L289" i="13"/>
  <c r="M277" i="13"/>
  <c r="M278" i="13"/>
  <c r="M279" i="13"/>
  <c r="M284" i="13"/>
  <c r="M288" i="13"/>
  <c r="M289" i="13"/>
  <c r="N277" i="13"/>
  <c r="N278" i="13"/>
  <c r="N279" i="13"/>
  <c r="N284" i="13"/>
  <c r="N288" i="13"/>
  <c r="N289" i="13"/>
  <c r="O277" i="13"/>
  <c r="O278" i="13"/>
  <c r="O279" i="13"/>
  <c r="O284" i="13"/>
  <c r="O288" i="13"/>
  <c r="O289" i="13"/>
  <c r="P277" i="13"/>
  <c r="P278" i="13"/>
  <c r="P279" i="13"/>
  <c r="P284" i="13"/>
  <c r="P288" i="13"/>
  <c r="P289" i="13"/>
  <c r="Q277" i="13"/>
  <c r="Q278" i="13"/>
  <c r="Q279" i="13"/>
  <c r="Q284" i="13"/>
  <c r="Q288" i="13"/>
  <c r="Q289" i="13"/>
  <c r="R277" i="13"/>
  <c r="R278" i="13"/>
  <c r="R279" i="13"/>
  <c r="R284" i="13"/>
  <c r="R288" i="13"/>
  <c r="R289" i="13"/>
  <c r="S277" i="13"/>
  <c r="S278" i="13"/>
  <c r="S279" i="13"/>
  <c r="S284" i="13"/>
  <c r="S288" i="13"/>
  <c r="S289" i="13"/>
  <c r="T277" i="13"/>
  <c r="T278" i="13"/>
  <c r="T279" i="13"/>
  <c r="T284" i="13"/>
  <c r="T288" i="13"/>
  <c r="T289" i="13"/>
  <c r="U259" i="13"/>
  <c r="U277" i="13"/>
  <c r="U278" i="13"/>
  <c r="U279" i="13"/>
  <c r="U284" i="13"/>
  <c r="U288" i="13"/>
  <c r="U289" i="13"/>
  <c r="V259" i="13"/>
  <c r="V277" i="13"/>
  <c r="V278" i="13"/>
  <c r="V279" i="13"/>
  <c r="V284" i="13"/>
  <c r="V288" i="13"/>
  <c r="V289" i="13"/>
  <c r="W259" i="13"/>
  <c r="W277" i="13"/>
  <c r="W278" i="13"/>
  <c r="W279" i="13"/>
  <c r="W284" i="13"/>
  <c r="W288" i="13"/>
  <c r="W289" i="13"/>
  <c r="X259" i="13"/>
  <c r="X277" i="13"/>
  <c r="X278" i="13"/>
  <c r="X279" i="13"/>
  <c r="X284" i="13"/>
  <c r="X288" i="13"/>
  <c r="X289" i="13"/>
  <c r="Y259" i="13"/>
  <c r="Y277" i="13"/>
  <c r="Y278" i="13"/>
  <c r="Y279" i="13"/>
  <c r="Y284" i="13"/>
  <c r="Y288" i="13"/>
  <c r="Y289" i="13"/>
  <c r="Z259" i="13"/>
  <c r="Z277" i="13"/>
  <c r="Z278" i="13"/>
  <c r="Z279" i="13"/>
  <c r="Z284" i="13"/>
  <c r="Z288" i="13"/>
  <c r="Z289" i="13"/>
  <c r="AA259" i="13"/>
  <c r="AA277" i="13"/>
  <c r="AA278" i="13"/>
  <c r="AA279" i="13"/>
  <c r="AA284" i="13"/>
  <c r="AA288" i="13"/>
  <c r="AA289" i="13"/>
  <c r="AB259" i="13"/>
  <c r="AB277" i="13"/>
  <c r="AB278" i="13"/>
  <c r="AB279" i="13"/>
  <c r="AB284" i="13"/>
  <c r="AB288" i="13"/>
  <c r="AB289" i="13"/>
  <c r="AC279" i="13"/>
  <c r="AC284" i="13"/>
  <c r="AC288" i="13"/>
  <c r="AC289" i="13"/>
  <c r="C304" i="13"/>
  <c r="D304" i="13"/>
  <c r="C305" i="13"/>
  <c r="E304" i="13"/>
  <c r="D305" i="13"/>
  <c r="F304" i="13"/>
  <c r="E305" i="13"/>
  <c r="G304" i="13"/>
  <c r="F305" i="13"/>
  <c r="H304" i="13"/>
  <c r="G305" i="13"/>
  <c r="I304" i="13"/>
  <c r="H305" i="13"/>
  <c r="J304" i="13"/>
  <c r="I305" i="13"/>
  <c r="K304" i="13"/>
  <c r="J305" i="13"/>
  <c r="L304" i="13"/>
  <c r="K305" i="13"/>
  <c r="M304" i="13"/>
  <c r="L305" i="13"/>
  <c r="N304" i="13"/>
  <c r="M305" i="13"/>
  <c r="O304" i="13"/>
  <c r="N305" i="13"/>
  <c r="P304" i="13"/>
  <c r="O305" i="13"/>
  <c r="Q304" i="13"/>
  <c r="P305" i="13"/>
  <c r="R304" i="13"/>
  <c r="Q305" i="13"/>
  <c r="S304" i="13"/>
  <c r="R305" i="13"/>
  <c r="T304" i="13"/>
  <c r="S305" i="13"/>
  <c r="U304" i="13"/>
  <c r="T305" i="13"/>
  <c r="V304" i="13"/>
  <c r="U305" i="13"/>
  <c r="W304" i="13"/>
  <c r="V305" i="13"/>
  <c r="X304" i="13"/>
  <c r="W305" i="13"/>
  <c r="Y304" i="13"/>
  <c r="X305" i="13"/>
  <c r="Z304" i="13"/>
  <c r="Y305" i="13"/>
  <c r="AA304" i="13"/>
  <c r="Z305" i="13"/>
  <c r="AB304" i="13"/>
  <c r="AA305" i="13"/>
  <c r="AB305" i="13"/>
  <c r="C320" i="13"/>
  <c r="D320" i="13"/>
  <c r="E320" i="13"/>
  <c r="F320" i="13"/>
  <c r="G320" i="13"/>
  <c r="H320" i="13"/>
  <c r="I320" i="13"/>
  <c r="J320" i="13"/>
  <c r="K320" i="13"/>
  <c r="L320" i="13"/>
  <c r="M320" i="13"/>
  <c r="N320" i="13"/>
  <c r="O320" i="13"/>
  <c r="P320" i="13"/>
  <c r="Q320" i="13"/>
  <c r="R320" i="13"/>
  <c r="S320" i="13"/>
  <c r="T320" i="13"/>
  <c r="U320" i="13"/>
  <c r="V320" i="13"/>
  <c r="W320" i="13"/>
  <c r="X320" i="13"/>
  <c r="Y320" i="13"/>
  <c r="Z320" i="13"/>
  <c r="AA320" i="13"/>
  <c r="AB320" i="13"/>
  <c r="AC320" i="13"/>
  <c r="D333" i="13"/>
  <c r="I332" i="13"/>
  <c r="I333" i="13"/>
  <c r="D334" i="13"/>
  <c r="J355" i="13"/>
  <c r="F355" i="13"/>
  <c r="J356" i="13"/>
  <c r="F356" i="13"/>
  <c r="J357" i="13"/>
  <c r="C321" i="13"/>
  <c r="C233" i="13"/>
  <c r="C369" i="13"/>
  <c r="D321" i="13"/>
  <c r="D233" i="13"/>
  <c r="D369" i="13"/>
  <c r="E321" i="13"/>
  <c r="E233" i="13"/>
  <c r="E369" i="13"/>
  <c r="F321" i="13"/>
  <c r="F233" i="13"/>
  <c r="F369" i="13"/>
  <c r="G321" i="13"/>
  <c r="G233" i="13"/>
  <c r="G369" i="13"/>
  <c r="H321" i="13"/>
  <c r="H233" i="13"/>
  <c r="H370" i="13"/>
  <c r="I321" i="13"/>
  <c r="I233" i="13"/>
  <c r="I370" i="13"/>
  <c r="J321" i="13"/>
  <c r="J233" i="13"/>
  <c r="J370" i="13"/>
  <c r="K321" i="13"/>
  <c r="K233" i="13"/>
  <c r="K370" i="13"/>
  <c r="L321" i="13"/>
  <c r="L233" i="13"/>
  <c r="L370" i="13"/>
  <c r="M321" i="13"/>
  <c r="M233" i="13"/>
  <c r="M370" i="13"/>
  <c r="N321" i="13"/>
  <c r="N233" i="13"/>
  <c r="N370" i="13"/>
  <c r="O321" i="13"/>
  <c r="O233" i="13"/>
  <c r="O370" i="13"/>
  <c r="P321" i="13"/>
  <c r="P233" i="13"/>
  <c r="P370" i="13"/>
  <c r="Q321" i="13"/>
  <c r="Q233" i="13"/>
  <c r="Q370" i="13"/>
  <c r="R321" i="13"/>
  <c r="R233" i="13"/>
  <c r="R370" i="13"/>
  <c r="S321" i="13"/>
  <c r="S233" i="13"/>
  <c r="S370" i="13"/>
  <c r="T321" i="13"/>
  <c r="T233" i="13"/>
  <c r="T370" i="13"/>
  <c r="U321" i="13"/>
  <c r="U233" i="13"/>
  <c r="U370" i="13"/>
  <c r="V321" i="13"/>
  <c r="V233" i="13"/>
  <c r="V370" i="13"/>
  <c r="W321" i="13"/>
  <c r="W233" i="13"/>
  <c r="W370" i="13"/>
  <c r="X321" i="13"/>
  <c r="X233" i="13"/>
  <c r="X370" i="13"/>
  <c r="Y321" i="13"/>
  <c r="Y233" i="13"/>
  <c r="Y370" i="13"/>
  <c r="Z321" i="13"/>
  <c r="Z233" i="13"/>
  <c r="Z370" i="13"/>
  <c r="AA321" i="13"/>
  <c r="AA233" i="13"/>
  <c r="AA370" i="13"/>
  <c r="AB321" i="13"/>
  <c r="AB233" i="13"/>
  <c r="AB370" i="13"/>
  <c r="AC321" i="13"/>
  <c r="AC233" i="13"/>
  <c r="AC370" i="13"/>
  <c r="F375" i="13"/>
  <c r="C375" i="13"/>
  <c r="C376" i="13"/>
  <c r="F376" i="13"/>
  <c r="E389" i="13"/>
  <c r="F171" i="13"/>
  <c r="M11" i="3"/>
  <c r="N11" i="3"/>
  <c r="O22" i="11"/>
  <c r="I22" i="11"/>
  <c r="AA22" i="11"/>
  <c r="W22" i="11"/>
  <c r="F22" i="11"/>
  <c r="T22" i="11"/>
  <c r="L22" i="11"/>
  <c r="E22" i="11"/>
  <c r="P22" i="11"/>
  <c r="X22" i="11"/>
  <c r="AB22" i="11"/>
  <c r="Y22" i="11"/>
  <c r="Q22" i="11"/>
  <c r="N22" i="11"/>
  <c r="U22" i="11"/>
  <c r="V22" i="11"/>
  <c r="M22" i="11"/>
  <c r="R22" i="11"/>
  <c r="S22" i="11"/>
  <c r="C22" i="11"/>
  <c r="D22" i="11"/>
  <c r="J22" i="11"/>
  <c r="K22" i="11"/>
  <c r="AC22" i="11"/>
  <c r="G22" i="11"/>
  <c r="Z22" i="11"/>
  <c r="H22" i="11"/>
  <c r="AC23" i="11"/>
  <c r="AC108" i="8"/>
  <c r="AA108" i="8"/>
  <c r="AB108" i="8"/>
  <c r="J44" i="8"/>
  <c r="J71" i="8"/>
  <c r="J75" i="8"/>
  <c r="J76" i="8"/>
  <c r="C35" i="8"/>
  <c r="D35" i="8"/>
  <c r="J74" i="8"/>
  <c r="J77" i="8"/>
  <c r="I44" i="8"/>
  <c r="I71" i="8"/>
  <c r="I76" i="8"/>
  <c r="I74" i="8"/>
  <c r="I77" i="8"/>
  <c r="J78" i="8"/>
  <c r="I75" i="8"/>
  <c r="H44" i="8"/>
  <c r="H71" i="8"/>
  <c r="H76" i="8"/>
  <c r="H74" i="8"/>
  <c r="H77" i="8"/>
  <c r="I78" i="8"/>
  <c r="H75" i="8"/>
  <c r="G44" i="8"/>
  <c r="G71" i="8"/>
  <c r="G76" i="8"/>
  <c r="G74" i="8"/>
  <c r="G77" i="8"/>
  <c r="H78" i="8"/>
  <c r="G75" i="8"/>
  <c r="F44" i="8"/>
  <c r="F71" i="8"/>
  <c r="F76" i="8"/>
  <c r="F74" i="8"/>
  <c r="F77" i="8"/>
  <c r="G78" i="8"/>
  <c r="F75" i="8"/>
  <c r="E44" i="8"/>
  <c r="E71" i="8"/>
  <c r="E76" i="8"/>
  <c r="E74" i="8"/>
  <c r="E77" i="8"/>
  <c r="F78" i="8"/>
  <c r="E75" i="8"/>
  <c r="D44" i="8"/>
  <c r="D71" i="8"/>
  <c r="D76" i="8"/>
  <c r="D74" i="8"/>
  <c r="D77" i="8"/>
  <c r="E78" i="8"/>
  <c r="D75" i="8"/>
  <c r="C44" i="8"/>
  <c r="C71" i="8"/>
  <c r="D38" i="8"/>
  <c r="C74" i="8"/>
  <c r="C77" i="8"/>
  <c r="D78" i="8"/>
  <c r="D79" i="8"/>
  <c r="E79" i="8"/>
  <c r="F79" i="8"/>
  <c r="G79" i="8"/>
  <c r="H79" i="8"/>
  <c r="I79" i="8"/>
  <c r="J79" i="8"/>
  <c r="Z108" i="8"/>
  <c r="S44" i="8"/>
  <c r="S71" i="8"/>
  <c r="S75" i="8"/>
  <c r="S76" i="8"/>
  <c r="S74" i="8"/>
  <c r="S77" i="8"/>
  <c r="R44" i="8"/>
  <c r="R71" i="8"/>
  <c r="R76" i="8"/>
  <c r="R74" i="8"/>
  <c r="R77" i="8"/>
  <c r="S78" i="8"/>
  <c r="T44" i="8"/>
  <c r="T71" i="8"/>
  <c r="T75" i="8"/>
  <c r="T76" i="8"/>
  <c r="T74" i="8"/>
  <c r="T77" i="8"/>
  <c r="T78" i="8"/>
  <c r="AB44" i="8"/>
  <c r="AB71" i="8"/>
  <c r="AB75" i="8"/>
  <c r="AB76" i="8"/>
  <c r="AB74" i="8"/>
  <c r="AB77" i="8"/>
  <c r="AA44" i="8"/>
  <c r="AA71" i="8"/>
  <c r="AA76" i="8"/>
  <c r="AA74" i="8"/>
  <c r="AA77" i="8"/>
  <c r="AB78" i="8"/>
  <c r="N44" i="8"/>
  <c r="N71" i="8"/>
  <c r="N75" i="8"/>
  <c r="N76" i="8"/>
  <c r="N74" i="8"/>
  <c r="N77" i="8"/>
  <c r="M44" i="8"/>
  <c r="M71" i="8"/>
  <c r="M76" i="8"/>
  <c r="M74" i="8"/>
  <c r="M77" i="8"/>
  <c r="N78" i="8"/>
  <c r="V44" i="8"/>
  <c r="V71" i="8"/>
  <c r="V75" i="8"/>
  <c r="V76" i="8"/>
  <c r="V74" i="8"/>
  <c r="V77" i="8"/>
  <c r="U44" i="8"/>
  <c r="U71" i="8"/>
  <c r="U76" i="8"/>
  <c r="U74" i="8"/>
  <c r="U77" i="8"/>
  <c r="V78" i="8"/>
  <c r="AA75" i="8"/>
  <c r="Z44" i="8"/>
  <c r="Z71" i="8"/>
  <c r="Z76" i="8"/>
  <c r="Z74" i="8"/>
  <c r="Z77" i="8"/>
  <c r="AA78" i="8"/>
  <c r="K44" i="8"/>
  <c r="K71" i="8"/>
  <c r="K75" i="8"/>
  <c r="K76" i="8"/>
  <c r="K74" i="8"/>
  <c r="K77" i="8"/>
  <c r="K78" i="8"/>
  <c r="X44" i="8"/>
  <c r="X71" i="8"/>
  <c r="X75" i="8"/>
  <c r="X76" i="8"/>
  <c r="X74" i="8"/>
  <c r="X77" i="8"/>
  <c r="W44" i="8"/>
  <c r="W71" i="8"/>
  <c r="W76" i="8"/>
  <c r="W74" i="8"/>
  <c r="W77" i="8"/>
  <c r="X78" i="8"/>
  <c r="Y44" i="8"/>
  <c r="Y71" i="8"/>
  <c r="Y75" i="8"/>
  <c r="Y76" i="8"/>
  <c r="Y74" i="8"/>
  <c r="Y77" i="8"/>
  <c r="Y78" i="8"/>
  <c r="L44" i="8"/>
  <c r="L71" i="8"/>
  <c r="L75" i="8"/>
  <c r="L76" i="8"/>
  <c r="L74" i="8"/>
  <c r="L77" i="8"/>
  <c r="L78" i="8"/>
  <c r="Q44" i="8"/>
  <c r="Q71" i="8"/>
  <c r="Q75" i="8"/>
  <c r="Q76" i="8"/>
  <c r="Q74" i="8"/>
  <c r="Q77" i="8"/>
  <c r="P44" i="8"/>
  <c r="P71" i="8"/>
  <c r="P76" i="8"/>
  <c r="P74" i="8"/>
  <c r="P77" i="8"/>
  <c r="Q78" i="8"/>
  <c r="O44" i="8"/>
  <c r="O71" i="8"/>
  <c r="O75" i="8"/>
  <c r="O76" i="8"/>
  <c r="O74" i="8"/>
  <c r="O77" i="8"/>
  <c r="O78" i="8"/>
  <c r="W75" i="8"/>
  <c r="W78" i="8"/>
  <c r="P75" i="8"/>
  <c r="P78" i="8"/>
  <c r="Z75" i="8"/>
  <c r="Z78" i="8"/>
  <c r="AC87" i="8"/>
  <c r="C47" i="8"/>
  <c r="D48" i="8"/>
  <c r="D49" i="8"/>
  <c r="D50" i="8"/>
  <c r="C51" i="8"/>
  <c r="C63" i="8"/>
  <c r="D47" i="8"/>
  <c r="E48" i="8"/>
  <c r="E49" i="8"/>
  <c r="E50" i="8"/>
  <c r="D51" i="8"/>
  <c r="D54" i="8"/>
  <c r="D55" i="8"/>
  <c r="D56" i="8"/>
  <c r="D57" i="8"/>
  <c r="C54" i="8"/>
  <c r="C55" i="8"/>
  <c r="C56" i="8"/>
  <c r="C57" i="8"/>
  <c r="D58" i="8"/>
  <c r="D63" i="8"/>
  <c r="E47" i="8"/>
  <c r="F48" i="8"/>
  <c r="F49" i="8"/>
  <c r="F50" i="8"/>
  <c r="E51" i="8"/>
  <c r="E54" i="8"/>
  <c r="E55" i="8"/>
  <c r="E56" i="8"/>
  <c r="E57" i="8"/>
  <c r="E58" i="8"/>
  <c r="E63" i="8"/>
  <c r="F47" i="8"/>
  <c r="G48" i="8"/>
  <c r="G49" i="8"/>
  <c r="G50" i="8"/>
  <c r="F51" i="8"/>
  <c r="F54" i="8"/>
  <c r="F55" i="8"/>
  <c r="F56" i="8"/>
  <c r="F57" i="8"/>
  <c r="F58" i="8"/>
  <c r="F63" i="8"/>
  <c r="G47" i="8"/>
  <c r="H48" i="8"/>
  <c r="H49" i="8"/>
  <c r="H50" i="8"/>
  <c r="G51" i="8"/>
  <c r="G54" i="8"/>
  <c r="G55" i="8"/>
  <c r="G56" i="8"/>
  <c r="G57" i="8"/>
  <c r="G58" i="8"/>
  <c r="G63" i="8"/>
  <c r="H47" i="8"/>
  <c r="I48" i="8"/>
  <c r="I49" i="8"/>
  <c r="I50" i="8"/>
  <c r="H51" i="8"/>
  <c r="H54" i="8"/>
  <c r="H55" i="8"/>
  <c r="H56" i="8"/>
  <c r="H57" i="8"/>
  <c r="H58" i="8"/>
  <c r="H63" i="8"/>
  <c r="I47" i="8"/>
  <c r="J48" i="8"/>
  <c r="J49" i="8"/>
  <c r="J50" i="8"/>
  <c r="I51" i="8"/>
  <c r="I54" i="8"/>
  <c r="I55" i="8"/>
  <c r="I56" i="8"/>
  <c r="I57" i="8"/>
  <c r="I58" i="8"/>
  <c r="I63" i="8"/>
  <c r="J47" i="8"/>
  <c r="K48" i="8"/>
  <c r="K49" i="8"/>
  <c r="K50" i="8"/>
  <c r="J51" i="8"/>
  <c r="J54" i="8"/>
  <c r="J55" i="8"/>
  <c r="J56" i="8"/>
  <c r="J57" i="8"/>
  <c r="J58" i="8"/>
  <c r="J63" i="8"/>
  <c r="K47" i="8"/>
  <c r="L48" i="8"/>
  <c r="L49" i="8"/>
  <c r="L50" i="8"/>
  <c r="K51" i="8"/>
  <c r="K54" i="8"/>
  <c r="K55" i="8"/>
  <c r="K56" i="8"/>
  <c r="K57" i="8"/>
  <c r="K58" i="8"/>
  <c r="K63" i="8"/>
  <c r="L47" i="8"/>
  <c r="M48" i="8"/>
  <c r="M49" i="8"/>
  <c r="M50" i="8"/>
  <c r="L51" i="8"/>
  <c r="L54" i="8"/>
  <c r="L55" i="8"/>
  <c r="L56" i="8"/>
  <c r="L57" i="8"/>
  <c r="L58" i="8"/>
  <c r="L63" i="8"/>
  <c r="M47" i="8"/>
  <c r="N48" i="8"/>
  <c r="N49" i="8"/>
  <c r="N50" i="8"/>
  <c r="M51" i="8"/>
  <c r="M54" i="8"/>
  <c r="M55" i="8"/>
  <c r="M56" i="8"/>
  <c r="M57" i="8"/>
  <c r="M58" i="8"/>
  <c r="M63" i="8"/>
  <c r="N47" i="8"/>
  <c r="O48" i="8"/>
  <c r="O49" i="8"/>
  <c r="O50" i="8"/>
  <c r="N51" i="8"/>
  <c r="N54" i="8"/>
  <c r="N55" i="8"/>
  <c r="N56" i="8"/>
  <c r="N57" i="8"/>
  <c r="N58" i="8"/>
  <c r="N63" i="8"/>
  <c r="O47" i="8"/>
  <c r="P48" i="8"/>
  <c r="P49" i="8"/>
  <c r="P50" i="8"/>
  <c r="O51" i="8"/>
  <c r="O54" i="8"/>
  <c r="O55" i="8"/>
  <c r="O56" i="8"/>
  <c r="O57" i="8"/>
  <c r="O58" i="8"/>
  <c r="O63" i="8"/>
  <c r="P47" i="8"/>
  <c r="Q48" i="8"/>
  <c r="Q49" i="8"/>
  <c r="Q50" i="8"/>
  <c r="P51" i="8"/>
  <c r="P54" i="8"/>
  <c r="P55" i="8"/>
  <c r="P56" i="8"/>
  <c r="P57" i="8"/>
  <c r="P58" i="8"/>
  <c r="P63" i="8"/>
  <c r="Q47" i="8"/>
  <c r="R48" i="8"/>
  <c r="R49" i="8"/>
  <c r="R50" i="8"/>
  <c r="Q51" i="8"/>
  <c r="Q54" i="8"/>
  <c r="Q55" i="8"/>
  <c r="Q56" i="8"/>
  <c r="Q57" i="8"/>
  <c r="Q58" i="8"/>
  <c r="Q63" i="8"/>
  <c r="R47" i="8"/>
  <c r="S48" i="8"/>
  <c r="S49" i="8"/>
  <c r="S50" i="8"/>
  <c r="R51" i="8"/>
  <c r="R54" i="8"/>
  <c r="R55" i="8"/>
  <c r="R56" i="8"/>
  <c r="R57" i="8"/>
  <c r="R58" i="8"/>
  <c r="R63" i="8"/>
  <c r="S47" i="8"/>
  <c r="T48" i="8"/>
  <c r="T49" i="8"/>
  <c r="T50" i="8"/>
  <c r="S51" i="8"/>
  <c r="S54" i="8"/>
  <c r="S55" i="8"/>
  <c r="S56" i="8"/>
  <c r="S57" i="8"/>
  <c r="S58" i="8"/>
  <c r="S63" i="8"/>
  <c r="T47" i="8"/>
  <c r="U48" i="8"/>
  <c r="U49" i="8"/>
  <c r="U50" i="8"/>
  <c r="T51" i="8"/>
  <c r="T54" i="8"/>
  <c r="T55" i="8"/>
  <c r="T56" i="8"/>
  <c r="T57" i="8"/>
  <c r="T58" i="8"/>
  <c r="T63" i="8"/>
  <c r="U47" i="8"/>
  <c r="V48" i="8"/>
  <c r="V49" i="8"/>
  <c r="V50" i="8"/>
  <c r="U51" i="8"/>
  <c r="U54" i="8"/>
  <c r="U55" i="8"/>
  <c r="U56" i="8"/>
  <c r="U57" i="8"/>
  <c r="U58" i="8"/>
  <c r="U63" i="8"/>
  <c r="V47" i="8"/>
  <c r="W48" i="8"/>
  <c r="W49" i="8"/>
  <c r="W50" i="8"/>
  <c r="V51" i="8"/>
  <c r="V54" i="8"/>
  <c r="V55" i="8"/>
  <c r="V56" i="8"/>
  <c r="V57" i="8"/>
  <c r="V58" i="8"/>
  <c r="V63" i="8"/>
  <c r="W47" i="8"/>
  <c r="X48" i="8"/>
  <c r="X49" i="8"/>
  <c r="X50" i="8"/>
  <c r="W51" i="8"/>
  <c r="W54" i="8"/>
  <c r="W55" i="8"/>
  <c r="W56" i="8"/>
  <c r="W57" i="8"/>
  <c r="W58" i="8"/>
  <c r="W63" i="8"/>
  <c r="X47" i="8"/>
  <c r="Y48" i="8"/>
  <c r="Y49" i="8"/>
  <c r="Y50" i="8"/>
  <c r="X51" i="8"/>
  <c r="X54" i="8"/>
  <c r="X55" i="8"/>
  <c r="X56" i="8"/>
  <c r="X57" i="8"/>
  <c r="X58" i="8"/>
  <c r="X63" i="8"/>
  <c r="Y47" i="8"/>
  <c r="Z48" i="8"/>
  <c r="Z49" i="8"/>
  <c r="Z50" i="8"/>
  <c r="Y51" i="8"/>
  <c r="Y54" i="8"/>
  <c r="Y55" i="8"/>
  <c r="Y56" i="8"/>
  <c r="Y57" i="8"/>
  <c r="Y58" i="8"/>
  <c r="Y63" i="8"/>
  <c r="Z47" i="8"/>
  <c r="AA48" i="8"/>
  <c r="AA49" i="8"/>
  <c r="AA50" i="8"/>
  <c r="Z51" i="8"/>
  <c r="Z54" i="8"/>
  <c r="Z55" i="8"/>
  <c r="Z56" i="8"/>
  <c r="Z57" i="8"/>
  <c r="Z58" i="8"/>
  <c r="Z63" i="8"/>
  <c r="AA47" i="8"/>
  <c r="AB48" i="8"/>
  <c r="AB49" i="8"/>
  <c r="AB50" i="8"/>
  <c r="AA51" i="8"/>
  <c r="AA54" i="8"/>
  <c r="AA55" i="8"/>
  <c r="AA56" i="8"/>
  <c r="AA57" i="8"/>
  <c r="AA58" i="8"/>
  <c r="AA63" i="8"/>
  <c r="AB47" i="8"/>
  <c r="AC48" i="8"/>
  <c r="AC49" i="8"/>
  <c r="AC50" i="8"/>
  <c r="AB51" i="8"/>
  <c r="AB54" i="8"/>
  <c r="AB55" i="8"/>
  <c r="AB56" i="8"/>
  <c r="AB57" i="8"/>
  <c r="AB58" i="8"/>
  <c r="AB63" i="8"/>
  <c r="AC51" i="8"/>
  <c r="AC58" i="8"/>
  <c r="AC63" i="8"/>
  <c r="C64" i="8"/>
  <c r="C67" i="8"/>
  <c r="C68" i="8"/>
  <c r="D67" i="8"/>
  <c r="D68" i="8"/>
  <c r="E67" i="8"/>
  <c r="E68" i="8"/>
  <c r="F67" i="8"/>
  <c r="F68" i="8"/>
  <c r="G67" i="8"/>
  <c r="G68" i="8"/>
  <c r="H67" i="8"/>
  <c r="H68" i="8"/>
  <c r="I67" i="8"/>
  <c r="I68" i="8"/>
  <c r="J67" i="8"/>
  <c r="J68" i="8"/>
  <c r="K67" i="8"/>
  <c r="K68" i="8"/>
  <c r="L67" i="8"/>
  <c r="L68" i="8"/>
  <c r="M67" i="8"/>
  <c r="M68" i="8"/>
  <c r="N67" i="8"/>
  <c r="N68" i="8"/>
  <c r="O67" i="8"/>
  <c r="O68" i="8"/>
  <c r="P67" i="8"/>
  <c r="P68" i="8"/>
  <c r="Q67" i="8"/>
  <c r="Q68" i="8"/>
  <c r="R67" i="8"/>
  <c r="R68" i="8"/>
  <c r="S67" i="8"/>
  <c r="S68" i="8"/>
  <c r="T67" i="8"/>
  <c r="T68" i="8"/>
  <c r="U67" i="8"/>
  <c r="U68" i="8"/>
  <c r="V67" i="8"/>
  <c r="V68" i="8"/>
  <c r="W67" i="8"/>
  <c r="W68" i="8"/>
  <c r="X67" i="8"/>
  <c r="X68" i="8"/>
  <c r="Y67" i="8"/>
  <c r="Y68" i="8"/>
  <c r="Z67" i="8"/>
  <c r="Z68" i="8"/>
  <c r="AA67" i="8"/>
  <c r="AA68" i="8"/>
  <c r="AB67" i="8"/>
  <c r="AB68" i="8"/>
  <c r="AC67" i="8"/>
  <c r="AC68" i="8"/>
  <c r="C69" i="8"/>
  <c r="U75" i="8"/>
  <c r="U78" i="8"/>
  <c r="M75" i="8"/>
  <c r="M78" i="8"/>
  <c r="R75" i="8"/>
  <c r="R78" i="8"/>
  <c r="AC71" i="8"/>
  <c r="AC75" i="8"/>
  <c r="AC76" i="8"/>
  <c r="AC74" i="8"/>
  <c r="AC77" i="8"/>
  <c r="AC78" i="8"/>
  <c r="AB73" i="8"/>
  <c r="U73" i="8"/>
  <c r="AA87" i="8"/>
  <c r="S73" i="8"/>
  <c r="R73" i="8"/>
  <c r="AA73" i="8"/>
  <c r="M73" i="8"/>
  <c r="N73" i="8"/>
  <c r="D73" i="8"/>
  <c r="Z73" i="8"/>
  <c r="X73" i="8"/>
  <c r="T73" i="8"/>
  <c r="Z87" i="8"/>
  <c r="O73" i="8"/>
  <c r="E73" i="8"/>
  <c r="V73" i="8"/>
  <c r="J73" i="8"/>
  <c r="Y73" i="8"/>
  <c r="I73" i="8"/>
  <c r="L73" i="8"/>
  <c r="K73" i="8"/>
  <c r="Q73" i="8"/>
  <c r="P73" i="8"/>
  <c r="AB87" i="8"/>
  <c r="G73" i="8"/>
  <c r="H73" i="8"/>
  <c r="W73" i="8"/>
  <c r="F73" i="8"/>
  <c r="AC73" i="8"/>
  <c r="D83" i="8"/>
  <c r="E83" i="8"/>
  <c r="F83" i="8"/>
  <c r="G83" i="8"/>
  <c r="H83" i="8"/>
  <c r="I83" i="8"/>
  <c r="J83" i="8"/>
  <c r="K83" i="8"/>
  <c r="L83" i="8"/>
  <c r="M83" i="8"/>
  <c r="N83" i="8"/>
  <c r="O83" i="8"/>
  <c r="P83" i="8"/>
  <c r="Q83" i="8"/>
  <c r="R83" i="8"/>
  <c r="S83" i="8"/>
  <c r="T83" i="8"/>
  <c r="U83" i="8"/>
  <c r="V83" i="8"/>
  <c r="W83" i="8"/>
  <c r="X83" i="8"/>
  <c r="Y83" i="8"/>
  <c r="Z83" i="8"/>
  <c r="AA83" i="8"/>
  <c r="AB83" i="8"/>
  <c r="AA84" i="8"/>
  <c r="Z84" i="8"/>
  <c r="Y84" i="8"/>
  <c r="X84" i="8"/>
  <c r="W84" i="8"/>
  <c r="V84" i="8"/>
  <c r="U84" i="8"/>
  <c r="T84" i="8"/>
  <c r="S84" i="8"/>
  <c r="R84" i="8"/>
  <c r="Q84" i="8"/>
  <c r="P84" i="8"/>
  <c r="O84" i="8"/>
  <c r="N84" i="8"/>
  <c r="M84" i="8"/>
  <c r="L84" i="8"/>
  <c r="K84" i="8"/>
  <c r="J84" i="8"/>
  <c r="I84" i="8"/>
  <c r="H84" i="8"/>
  <c r="G84" i="8"/>
  <c r="L108" i="8"/>
  <c r="F108" i="8"/>
  <c r="G108" i="8"/>
  <c r="K108" i="8"/>
  <c r="N108" i="8"/>
  <c r="R108" i="8"/>
  <c r="V108" i="8"/>
  <c r="U108" i="8"/>
  <c r="O108" i="8"/>
  <c r="Q108" i="8"/>
  <c r="J108" i="8"/>
  <c r="S108" i="8"/>
  <c r="P108" i="8"/>
  <c r="M108" i="8"/>
  <c r="T108" i="8"/>
  <c r="W108" i="8"/>
  <c r="Y108" i="8"/>
  <c r="I108" i="8"/>
  <c r="H108" i="8"/>
  <c r="X108" i="8"/>
  <c r="E108" i="8"/>
  <c r="F84" i="8"/>
  <c r="E84" i="8"/>
  <c r="D108" i="8"/>
  <c r="D84" i="8"/>
  <c r="F87" i="8"/>
  <c r="K87" i="8"/>
  <c r="G87" i="8"/>
  <c r="H87" i="8"/>
  <c r="J87" i="8"/>
  <c r="Q87" i="8"/>
  <c r="M87" i="8"/>
  <c r="V87" i="8"/>
  <c r="P87" i="8"/>
  <c r="U87" i="8"/>
  <c r="I87" i="8"/>
  <c r="X87" i="8"/>
  <c r="N87" i="8"/>
  <c r="S87" i="8"/>
  <c r="C75" i="8"/>
  <c r="O87" i="8"/>
  <c r="C108" i="8"/>
  <c r="C84" i="8"/>
  <c r="D87" i="8"/>
  <c r="L87" i="8"/>
  <c r="E87" i="8"/>
  <c r="R87" i="8"/>
  <c r="W87" i="8"/>
  <c r="T87" i="8"/>
  <c r="C73" i="8"/>
  <c r="Y87" i="8"/>
  <c r="C87" i="8"/>
  <c r="C107" i="8"/>
  <c r="AC107" i="8"/>
  <c r="AB107" i="8"/>
  <c r="AA107" i="8"/>
  <c r="Z107" i="8"/>
  <c r="Y107" i="8"/>
  <c r="X107" i="8"/>
  <c r="W107" i="8"/>
  <c r="V107" i="8"/>
  <c r="U107" i="8"/>
  <c r="T107" i="8"/>
  <c r="S107" i="8"/>
  <c r="R107" i="8"/>
  <c r="Q107" i="8"/>
  <c r="P107" i="8"/>
  <c r="O107" i="8"/>
  <c r="N107" i="8"/>
  <c r="M107" i="8"/>
  <c r="L107" i="8"/>
  <c r="K107" i="8"/>
  <c r="J107" i="8"/>
  <c r="I107" i="8"/>
  <c r="H107" i="8"/>
  <c r="G107" i="8"/>
  <c r="F107" i="8"/>
  <c r="E107" i="8"/>
  <c r="D107" i="8"/>
  <c r="AB39" i="8"/>
  <c r="AA39" i="8"/>
  <c r="Z39" i="8"/>
  <c r="Y39" i="8"/>
  <c r="X39" i="8"/>
  <c r="W39" i="8"/>
  <c r="V39" i="8"/>
  <c r="U39" i="8"/>
  <c r="T39" i="8"/>
  <c r="S39" i="8"/>
  <c r="R39" i="8"/>
  <c r="Q39" i="8"/>
  <c r="P39" i="8"/>
  <c r="O39" i="8"/>
  <c r="N39" i="8"/>
  <c r="M39" i="8"/>
  <c r="L39" i="8"/>
  <c r="K39" i="8"/>
  <c r="J39" i="8"/>
  <c r="I39" i="8"/>
  <c r="H39" i="8"/>
  <c r="G39" i="8"/>
  <c r="F39" i="8"/>
  <c r="E39" i="8"/>
  <c r="D39" i="8"/>
  <c r="C39" i="8"/>
  <c r="AB84" i="8"/>
  <c r="C173" i="13"/>
  <c r="D173" i="13"/>
  <c r="E173" i="13"/>
  <c r="F173" i="13"/>
  <c r="G173" i="13"/>
  <c r="H173" i="13"/>
  <c r="I173" i="13"/>
  <c r="J173" i="13"/>
  <c r="K173" i="13"/>
  <c r="L173" i="13"/>
  <c r="M173" i="13"/>
  <c r="N173" i="13"/>
  <c r="O173" i="13"/>
  <c r="P173" i="13"/>
  <c r="Q173" i="13"/>
  <c r="R173" i="13"/>
  <c r="S173" i="13"/>
  <c r="T173" i="13"/>
  <c r="U173" i="13"/>
  <c r="V173" i="13"/>
  <c r="W173" i="13"/>
  <c r="X173" i="13"/>
  <c r="Y173" i="13"/>
  <c r="Z173" i="13"/>
  <c r="AA173" i="13"/>
  <c r="AB173" i="13"/>
  <c r="AC173" i="13"/>
  <c r="F174" i="13"/>
  <c r="H174" i="13"/>
  <c r="C196" i="13"/>
  <c r="C162" i="13"/>
  <c r="C197" i="13"/>
  <c r="C200" i="13"/>
  <c r="C199" i="13"/>
  <c r="C201" i="13"/>
  <c r="C202" i="13"/>
  <c r="C261" i="13"/>
  <c r="D261" i="13"/>
  <c r="E261" i="13"/>
  <c r="F261" i="13"/>
  <c r="G261" i="13"/>
  <c r="H261" i="13"/>
  <c r="I261" i="13"/>
  <c r="J261" i="13"/>
  <c r="K261" i="13"/>
  <c r="L261" i="13"/>
  <c r="M261" i="13"/>
  <c r="N261" i="13"/>
  <c r="O261" i="13"/>
  <c r="P261" i="13"/>
  <c r="Q261" i="13"/>
  <c r="R261" i="13"/>
  <c r="S261" i="13"/>
  <c r="T261" i="13"/>
  <c r="U261" i="13"/>
  <c r="V261" i="13"/>
  <c r="W261" i="13"/>
  <c r="X261" i="13"/>
  <c r="Y261" i="13"/>
  <c r="Z261" i="13"/>
  <c r="AA261" i="13"/>
  <c r="AB261" i="13"/>
  <c r="AC261" i="13"/>
  <c r="D262" i="13"/>
  <c r="C285" i="13"/>
  <c r="C112" i="8"/>
  <c r="D112" i="8"/>
  <c r="E112" i="8"/>
  <c r="F112" i="8"/>
  <c r="G112" i="8"/>
  <c r="H112" i="8"/>
  <c r="I112" i="8"/>
  <c r="J112" i="8"/>
  <c r="K112" i="8"/>
  <c r="L112" i="8"/>
  <c r="M112" i="8"/>
  <c r="N112" i="8"/>
  <c r="O112" i="8"/>
  <c r="P112" i="8"/>
  <c r="Q112" i="8"/>
  <c r="R112" i="8"/>
  <c r="S112" i="8"/>
  <c r="T112" i="8"/>
  <c r="U112" i="8"/>
  <c r="V112" i="8"/>
  <c r="W112" i="8"/>
  <c r="X112" i="8"/>
  <c r="Y112" i="8"/>
  <c r="Z112" i="8"/>
  <c r="AA112" i="8"/>
  <c r="AB112" i="8"/>
  <c r="AC112" i="8"/>
  <c r="E117" i="8"/>
  <c r="C102" i="11"/>
  <c r="C101" i="11"/>
  <c r="C113" i="8"/>
  <c r="D113" i="8"/>
  <c r="E113" i="8"/>
  <c r="F113" i="8"/>
  <c r="G113" i="8"/>
  <c r="H113" i="8"/>
  <c r="I113" i="8"/>
  <c r="J113" i="8"/>
  <c r="K113" i="8"/>
  <c r="L113" i="8"/>
  <c r="M113" i="8"/>
  <c r="N113" i="8"/>
  <c r="O113" i="8"/>
  <c r="P113" i="8"/>
  <c r="Q113" i="8"/>
  <c r="R113" i="8"/>
  <c r="S113" i="8"/>
  <c r="T113" i="8"/>
  <c r="U113" i="8"/>
  <c r="V113" i="8"/>
  <c r="W113" i="8"/>
  <c r="X113" i="8"/>
  <c r="Y113" i="8"/>
  <c r="Z113" i="8"/>
  <c r="AA113" i="8"/>
  <c r="AB113" i="8"/>
  <c r="AC113" i="8"/>
  <c r="E118" i="8"/>
  <c r="C103" i="11"/>
  <c r="M14" i="3"/>
  <c r="N14" i="3"/>
  <c r="M13" i="3"/>
  <c r="N13" i="3"/>
  <c r="C23" i="11"/>
  <c r="C24" i="11"/>
  <c r="C25" i="11"/>
  <c r="E24" i="11"/>
  <c r="D23" i="11"/>
  <c r="D24" i="11"/>
  <c r="M23" i="11"/>
  <c r="H24" i="11"/>
  <c r="W24" i="11"/>
  <c r="I24" i="11"/>
  <c r="H23" i="11"/>
  <c r="I23" i="11"/>
  <c r="W23" i="11"/>
  <c r="Y24" i="11"/>
  <c r="Y23" i="11"/>
  <c r="X24" i="11"/>
  <c r="M24" i="11"/>
  <c r="R24" i="11"/>
  <c r="L24" i="11"/>
  <c r="S24" i="11"/>
  <c r="F24" i="11"/>
  <c r="V23" i="11"/>
  <c r="V24" i="11"/>
  <c r="P23" i="11"/>
  <c r="P24" i="11"/>
  <c r="K24" i="11"/>
  <c r="N23" i="11"/>
  <c r="N24" i="11"/>
  <c r="O23" i="11"/>
  <c r="O24" i="11"/>
  <c r="G24" i="11"/>
  <c r="U23" i="11"/>
  <c r="U24" i="11"/>
  <c r="J24" i="11"/>
  <c r="Q24" i="11"/>
  <c r="E25" i="11"/>
  <c r="T24" i="11"/>
  <c r="E23" i="11"/>
  <c r="D25" i="11"/>
  <c r="H25" i="11"/>
  <c r="I25" i="11"/>
  <c r="W25" i="11"/>
  <c r="M25" i="11"/>
  <c r="Y25" i="11"/>
  <c r="X25" i="11"/>
  <c r="X23" i="11"/>
  <c r="F23" i="11"/>
  <c r="S25" i="11"/>
  <c r="L25" i="11"/>
  <c r="J25" i="11"/>
  <c r="G25" i="11"/>
  <c r="Q25" i="11"/>
  <c r="R25" i="11"/>
  <c r="V25" i="11"/>
  <c r="L23" i="11"/>
  <c r="T25" i="11"/>
  <c r="K25" i="11"/>
  <c r="J23" i="11"/>
  <c r="O25" i="11"/>
  <c r="F25" i="11"/>
  <c r="Q23" i="11"/>
  <c r="N25" i="11"/>
  <c r="P25" i="11"/>
  <c r="T23" i="11"/>
  <c r="G23" i="11"/>
  <c r="S23" i="11"/>
  <c r="K23" i="11"/>
  <c r="U25" i="11"/>
  <c r="R23" i="11"/>
  <c r="Z24" i="11"/>
  <c r="AB23" i="11"/>
  <c r="AB24" i="11"/>
  <c r="AA24" i="11"/>
  <c r="Z23" i="11"/>
  <c r="Z25" i="11"/>
  <c r="AB25" i="11"/>
  <c r="AA25" i="11"/>
  <c r="AA23" i="11"/>
  <c r="AC24" i="11"/>
  <c r="AC25" i="11"/>
  <c r="F118" i="8"/>
  <c r="C144" i="11"/>
  <c r="D144" i="11"/>
  <c r="D145" i="11"/>
  <c r="C122" i="11"/>
  <c r="C123" i="11"/>
  <c r="F117" i="8"/>
  <c r="M16" i="3"/>
  <c r="M17" i="3"/>
  <c r="AB262" i="13"/>
  <c r="AA262" i="13"/>
  <c r="Z262" i="13"/>
  <c r="Y262" i="13"/>
  <c r="X262" i="13"/>
  <c r="W262" i="13"/>
  <c r="V262" i="13"/>
  <c r="U262" i="13"/>
  <c r="AB174" i="13"/>
  <c r="X174" i="13"/>
  <c r="T174" i="13"/>
  <c r="P174" i="13"/>
  <c r="L174" i="13"/>
  <c r="N18" i="21"/>
  <c r="N22" i="21"/>
  <c r="N24" i="21"/>
  <c r="M41" i="21"/>
  <c r="M43" i="21"/>
  <c r="N43" i="21"/>
  <c r="M44" i="21"/>
  <c r="N44" i="21"/>
  <c r="L47" i="21"/>
  <c r="AB171" i="13"/>
  <c r="X171" i="13"/>
  <c r="T171" i="13"/>
  <c r="P171" i="13"/>
  <c r="L171" i="13"/>
  <c r="H171" i="13"/>
  <c r="C26" i="11"/>
  <c r="M35" i="17"/>
  <c r="N35" i="17"/>
  <c r="K19" i="3"/>
  <c r="N16" i="3"/>
  <c r="K26" i="3"/>
  <c r="A4" i="10" a="1"/>
  <c r="A29" i="10"/>
  <c r="A17" i="10"/>
  <c r="A24" i="10"/>
  <c r="A5" i="10"/>
  <c r="A25" i="10"/>
  <c r="A4" i="10"/>
  <c r="A30" i="10"/>
  <c r="A11" i="10"/>
  <c r="A9" i="10"/>
  <c r="A6" i="10"/>
  <c r="A19" i="10"/>
  <c r="A8" i="10"/>
  <c r="A10" i="10"/>
  <c r="A28" i="10"/>
  <c r="A14" i="10"/>
  <c r="A27" i="10"/>
  <c r="A16" i="10"/>
  <c r="A21" i="10"/>
  <c r="A23" i="10"/>
  <c r="A20" i="10"/>
  <c r="A7" i="10"/>
  <c r="A18" i="10"/>
  <c r="A13" i="10"/>
  <c r="A15" i="10"/>
  <c r="A26" i="10"/>
  <c r="A22" i="10"/>
  <c r="A12" i="10"/>
  <c r="D33" i="10"/>
  <c r="E33" i="10"/>
  <c r="F33" i="10"/>
  <c r="G33" i="10"/>
  <c r="H33" i="10"/>
  <c r="I33" i="10"/>
  <c r="J33" i="10"/>
  <c r="K33" i="10"/>
  <c r="L33" i="10"/>
  <c r="M33" i="10"/>
  <c r="N33" i="10"/>
  <c r="O33" i="10"/>
  <c r="P33" i="10"/>
  <c r="Q33" i="10"/>
  <c r="R33" i="10"/>
  <c r="S33" i="10"/>
  <c r="T33" i="10"/>
  <c r="U33" i="10"/>
  <c r="V33" i="10"/>
  <c r="W33" i="10"/>
  <c r="X33" i="10"/>
  <c r="Y33" i="10"/>
  <c r="Z33" i="10"/>
  <c r="AA33" i="10"/>
  <c r="AB33" i="10"/>
  <c r="AC33" i="10"/>
  <c r="AD33" i="10"/>
  <c r="D35" i="10"/>
  <c r="D36" i="10"/>
  <c r="D37" i="10"/>
  <c r="D39" i="10"/>
  <c r="C64" i="11"/>
  <c r="C67" i="11"/>
  <c r="C68" i="11"/>
  <c r="C69" i="11"/>
  <c r="E39" i="10"/>
  <c r="D64" i="11"/>
  <c r="D67" i="11"/>
  <c r="D68" i="11"/>
  <c r="D69" i="11"/>
  <c r="F39" i="10"/>
  <c r="E64" i="11"/>
  <c r="E67" i="11"/>
  <c r="E68" i="11"/>
  <c r="E69" i="11"/>
  <c r="G39" i="10"/>
  <c r="F64" i="11"/>
  <c r="F67" i="11"/>
  <c r="F68" i="11"/>
  <c r="F69" i="11"/>
  <c r="H39" i="10"/>
  <c r="G64" i="11"/>
  <c r="G67" i="11"/>
  <c r="G68" i="11"/>
  <c r="G69" i="11"/>
  <c r="I39" i="10"/>
  <c r="H64" i="11"/>
  <c r="H67" i="11"/>
  <c r="H68" i="11"/>
  <c r="H69" i="11"/>
  <c r="J39" i="10"/>
  <c r="I64" i="11"/>
  <c r="I67" i="11"/>
  <c r="I68" i="11"/>
  <c r="I69" i="11"/>
  <c r="K39" i="10"/>
  <c r="J64" i="11"/>
  <c r="J67" i="11"/>
  <c r="J68" i="11"/>
  <c r="J69" i="11"/>
  <c r="L39" i="10"/>
  <c r="K64" i="11"/>
  <c r="K67" i="11"/>
  <c r="K68" i="11"/>
  <c r="K69" i="11"/>
  <c r="M39" i="10"/>
  <c r="L64" i="11"/>
  <c r="L67" i="11"/>
  <c r="L68" i="11"/>
  <c r="L69" i="11"/>
  <c r="N39" i="10"/>
  <c r="M64" i="11"/>
  <c r="M67" i="11"/>
  <c r="M68" i="11"/>
  <c r="M69" i="11"/>
  <c r="O39" i="10"/>
  <c r="N64" i="11"/>
  <c r="N67" i="11"/>
  <c r="N68" i="11"/>
  <c r="N69" i="11"/>
  <c r="P39" i="10"/>
  <c r="O64" i="11"/>
  <c r="O67" i="11"/>
  <c r="O68" i="11"/>
  <c r="O69" i="11"/>
  <c r="Q39" i="10"/>
  <c r="P64" i="11"/>
  <c r="P67" i="11"/>
  <c r="P68" i="11"/>
  <c r="P69" i="11"/>
  <c r="R39" i="10"/>
  <c r="Q64" i="11"/>
  <c r="Q67" i="11"/>
  <c r="Q68" i="11"/>
  <c r="Q69" i="11"/>
  <c r="S39" i="10"/>
  <c r="R64" i="11"/>
  <c r="R67" i="11"/>
  <c r="R68" i="11"/>
  <c r="R69" i="11"/>
  <c r="T39" i="10"/>
  <c r="S64" i="11"/>
  <c r="S67" i="11"/>
  <c r="S68" i="11"/>
  <c r="S69" i="11"/>
  <c r="U39" i="10"/>
  <c r="T64" i="11"/>
  <c r="T67" i="11"/>
  <c r="T68" i="11"/>
  <c r="T69" i="11"/>
  <c r="V39" i="10"/>
  <c r="U64" i="11"/>
  <c r="U67" i="11"/>
  <c r="U68" i="11"/>
  <c r="U69" i="11"/>
  <c r="W39" i="10"/>
  <c r="V64" i="11"/>
  <c r="V67" i="11"/>
  <c r="V68" i="11"/>
  <c r="V69" i="11"/>
  <c r="X39" i="10"/>
  <c r="W64" i="11"/>
  <c r="W67" i="11"/>
  <c r="W68" i="11"/>
  <c r="W69" i="11"/>
  <c r="Y39" i="10"/>
  <c r="X64" i="11"/>
  <c r="X67" i="11"/>
  <c r="X68" i="11"/>
  <c r="X69" i="11"/>
  <c r="Z39" i="10"/>
  <c r="Y64" i="11"/>
  <c r="Y67" i="11"/>
  <c r="Y68" i="11"/>
  <c r="Y69" i="11"/>
  <c r="AA39" i="10"/>
  <c r="Z64" i="11"/>
  <c r="Z67" i="11"/>
  <c r="Z68" i="11"/>
  <c r="Z69" i="11"/>
  <c r="AB39" i="10"/>
  <c r="AA64" i="11"/>
  <c r="AA67" i="11"/>
  <c r="AA68" i="11"/>
  <c r="AA69" i="11"/>
  <c r="AC39" i="10"/>
  <c r="AB64" i="11"/>
  <c r="AB67" i="11"/>
  <c r="AB68" i="11"/>
  <c r="AB69" i="11"/>
  <c r="AD39" i="10"/>
  <c r="AC64" i="11"/>
  <c r="AC67" i="11"/>
  <c r="AC68" i="11"/>
  <c r="AC69" i="11"/>
  <c r="E101" i="11"/>
  <c r="M37" i="17"/>
  <c r="N37" i="17"/>
  <c r="D137" i="11"/>
  <c r="D70" i="11"/>
  <c r="E70" i="11"/>
  <c r="F70" i="11"/>
  <c r="G70" i="11"/>
  <c r="H70" i="11"/>
  <c r="I70" i="11"/>
  <c r="J70" i="11"/>
  <c r="K70" i="11"/>
  <c r="L70" i="11"/>
  <c r="M70" i="11"/>
  <c r="N70" i="11"/>
  <c r="O70" i="11"/>
  <c r="P70" i="11"/>
  <c r="Q70" i="11"/>
  <c r="R70" i="11"/>
  <c r="S70" i="11"/>
  <c r="T70" i="11"/>
  <c r="U70" i="11"/>
  <c r="V70" i="11"/>
  <c r="W70" i="11"/>
  <c r="X70" i="11"/>
  <c r="Y70" i="11"/>
  <c r="Z70" i="11"/>
  <c r="AA70" i="11"/>
  <c r="AB70" i="11"/>
  <c r="AC70" i="11"/>
  <c r="C70" i="11"/>
  <c r="E102" i="11"/>
  <c r="G102" i="11"/>
  <c r="H102" i="11"/>
  <c r="G101" i="11"/>
  <c r="H101" i="11"/>
  <c r="D71" i="11"/>
  <c r="E71" i="11"/>
  <c r="F71" i="11"/>
  <c r="G71" i="11"/>
  <c r="H71" i="11"/>
  <c r="I71" i="11"/>
  <c r="J71" i="11"/>
  <c r="K71" i="11"/>
  <c r="L71" i="11"/>
  <c r="M71" i="11"/>
  <c r="N71" i="11"/>
  <c r="O71" i="11"/>
  <c r="P71" i="11"/>
  <c r="Q71" i="11"/>
  <c r="R71" i="11"/>
  <c r="S71" i="11"/>
  <c r="T71" i="11"/>
  <c r="U71" i="11"/>
  <c r="V71" i="11"/>
  <c r="W71" i="11"/>
  <c r="X71" i="11"/>
  <c r="Y71" i="11"/>
  <c r="Z71" i="11"/>
  <c r="AA71" i="11"/>
  <c r="AB71" i="11"/>
  <c r="AC71" i="11"/>
  <c r="C71" i="11"/>
  <c r="E103" i="11"/>
  <c r="G103" i="11"/>
  <c r="H103" i="11"/>
  <c r="E105" i="11"/>
  <c r="H105" i="11"/>
  <c r="D58" i="10"/>
  <c r="E58" i="10"/>
  <c r="F58" i="10"/>
  <c r="G58" i="10"/>
  <c r="H58" i="10"/>
  <c r="I58" i="10"/>
  <c r="J58" i="10"/>
  <c r="K58" i="10"/>
  <c r="L58" i="10"/>
  <c r="M58" i="10"/>
  <c r="N58" i="10"/>
  <c r="O58" i="10"/>
  <c r="P58" i="10"/>
  <c r="Q58" i="10"/>
  <c r="R58" i="10"/>
  <c r="S58" i="10"/>
  <c r="T58" i="10"/>
  <c r="U58" i="10"/>
  <c r="V58" i="10"/>
  <c r="W58" i="10"/>
  <c r="X58" i="10"/>
  <c r="Y58" i="10"/>
  <c r="Z58" i="10"/>
  <c r="AA58" i="10"/>
  <c r="AB58" i="10"/>
  <c r="AC58" i="10"/>
  <c r="AD58" i="10"/>
  <c r="D60" i="10"/>
  <c r="D61" i="10"/>
  <c r="D62" i="10"/>
  <c r="E64" i="10"/>
  <c r="E65" i="10"/>
  <c r="E66" i="10"/>
  <c r="F64" i="10"/>
  <c r="F65" i="10"/>
  <c r="F66" i="10"/>
  <c r="G64" i="10"/>
  <c r="G65" i="10"/>
  <c r="G66" i="10"/>
  <c r="H64" i="10"/>
  <c r="H65" i="10"/>
  <c r="H66" i="10"/>
  <c r="I64" i="10"/>
  <c r="I65" i="10"/>
  <c r="I66" i="10"/>
  <c r="J64" i="10"/>
  <c r="J65" i="10"/>
  <c r="J66" i="10"/>
  <c r="K64" i="10"/>
  <c r="K65" i="10"/>
  <c r="K66" i="10"/>
  <c r="L64" i="10"/>
  <c r="L65" i="10"/>
  <c r="L66" i="10"/>
  <c r="M64" i="10"/>
  <c r="M65" i="10"/>
  <c r="M66" i="10"/>
  <c r="N64" i="10"/>
  <c r="N65" i="10"/>
  <c r="N66" i="10"/>
  <c r="O64" i="10"/>
  <c r="O65" i="10"/>
  <c r="O66" i="10"/>
  <c r="P64" i="10"/>
  <c r="P65" i="10"/>
  <c r="P66" i="10"/>
  <c r="Q64" i="10"/>
  <c r="Q65" i="10"/>
  <c r="Q66" i="10"/>
  <c r="R64" i="10"/>
  <c r="R65" i="10"/>
  <c r="R66" i="10"/>
  <c r="S64" i="10"/>
  <c r="S65" i="10"/>
  <c r="S66" i="10"/>
  <c r="T64" i="10"/>
  <c r="T65" i="10"/>
  <c r="T66" i="10"/>
  <c r="U64" i="10"/>
  <c r="U65" i="10"/>
  <c r="U66" i="10"/>
  <c r="V64" i="10"/>
  <c r="V65" i="10"/>
  <c r="V66" i="10"/>
  <c r="W64" i="10"/>
  <c r="W65" i="10"/>
  <c r="W66" i="10"/>
  <c r="X64" i="10"/>
  <c r="X65" i="10"/>
  <c r="X66" i="10"/>
  <c r="Y64" i="10"/>
  <c r="Y65" i="10"/>
  <c r="Y66" i="10"/>
  <c r="Z64" i="10"/>
  <c r="Z65" i="10"/>
  <c r="Z66" i="10"/>
  <c r="AA64" i="10"/>
  <c r="AA65" i="10"/>
  <c r="AA66" i="10"/>
  <c r="AB64" i="10"/>
  <c r="AB65" i="10"/>
  <c r="AB66" i="10"/>
  <c r="AC64" i="10"/>
  <c r="AC65" i="10"/>
  <c r="AC66" i="10"/>
  <c r="D64" i="10"/>
  <c r="D65" i="10"/>
  <c r="AD65" i="10"/>
  <c r="AD66" i="10"/>
  <c r="D66" i="10"/>
  <c r="D68" i="10"/>
  <c r="G121" i="11"/>
  <c r="M38" i="17"/>
  <c r="N38" i="17"/>
  <c r="F133" i="11"/>
  <c r="C147" i="11"/>
  <c r="D147" i="11"/>
  <c r="G133" i="11"/>
  <c r="E147" i="11"/>
  <c r="M12" i="17"/>
  <c r="M15" i="17"/>
  <c r="O15" i="17"/>
  <c r="D154" i="11"/>
  <c r="D133" i="11"/>
  <c r="AD64" i="10"/>
  <c r="E67" i="10"/>
  <c r="F67" i="10"/>
  <c r="G67" i="10"/>
  <c r="H67" i="10"/>
  <c r="I67" i="10"/>
  <c r="J67" i="10"/>
  <c r="K67" i="10"/>
  <c r="L67" i="10"/>
  <c r="M67" i="10"/>
  <c r="N67" i="10"/>
  <c r="O67" i="10"/>
  <c r="P67" i="10"/>
  <c r="Q67" i="10"/>
  <c r="R67" i="10"/>
  <c r="S67" i="10"/>
  <c r="T67" i="10"/>
  <c r="U67" i="10"/>
  <c r="V67" i="10"/>
  <c r="W67" i="10"/>
  <c r="X67" i="10"/>
  <c r="Y67" i="10"/>
  <c r="Z67" i="10"/>
  <c r="AA67" i="10"/>
  <c r="AB67" i="10"/>
  <c r="AC67" i="10"/>
  <c r="AD67" i="10"/>
  <c r="D67" i="10"/>
  <c r="D69" i="10"/>
  <c r="G122" i="11"/>
  <c r="D70" i="10"/>
  <c r="G123" i="11"/>
  <c r="K121" i="11"/>
  <c r="K122" i="11"/>
  <c r="D43" i="10"/>
  <c r="E43" i="10"/>
  <c r="F43" i="10"/>
  <c r="G43" i="10"/>
  <c r="H43" i="10"/>
  <c r="I43" i="10"/>
  <c r="J43" i="10"/>
  <c r="K43" i="10"/>
  <c r="L43" i="10"/>
  <c r="M43" i="10"/>
  <c r="N43" i="10"/>
  <c r="O43" i="10"/>
  <c r="P43" i="10"/>
  <c r="Q43" i="10"/>
  <c r="R43" i="10"/>
  <c r="S43" i="10"/>
  <c r="T43" i="10"/>
  <c r="U43" i="10"/>
  <c r="V43" i="10"/>
  <c r="W43" i="10"/>
  <c r="X43" i="10"/>
  <c r="Y43" i="10"/>
  <c r="Z43" i="10"/>
  <c r="AA43" i="10"/>
  <c r="AB43" i="10"/>
  <c r="AC43" i="10"/>
  <c r="AD43" i="10"/>
  <c r="D45" i="10"/>
  <c r="D46" i="10"/>
  <c r="D47" i="10"/>
  <c r="E49" i="10"/>
  <c r="E50" i="10"/>
  <c r="E51" i="10"/>
  <c r="F49" i="10"/>
  <c r="F50" i="10"/>
  <c r="F51" i="10"/>
  <c r="G49" i="10"/>
  <c r="G50" i="10"/>
  <c r="G51" i="10"/>
  <c r="H49" i="10"/>
  <c r="H50" i="10"/>
  <c r="H51" i="10"/>
  <c r="I49" i="10"/>
  <c r="I50" i="10"/>
  <c r="I51" i="10"/>
  <c r="J49" i="10"/>
  <c r="J50" i="10"/>
  <c r="J51" i="10"/>
  <c r="K49" i="10"/>
  <c r="K50" i="10"/>
  <c r="K51" i="10"/>
  <c r="L49" i="10"/>
  <c r="L50" i="10"/>
  <c r="L51" i="10"/>
  <c r="M49" i="10"/>
  <c r="M50" i="10"/>
  <c r="M51" i="10"/>
  <c r="N49" i="10"/>
  <c r="N50" i="10"/>
  <c r="N51" i="10"/>
  <c r="O49" i="10"/>
  <c r="O50" i="10"/>
  <c r="O51" i="10"/>
  <c r="P49" i="10"/>
  <c r="P50" i="10"/>
  <c r="P51" i="10"/>
  <c r="Q49" i="10"/>
  <c r="Q50" i="10"/>
  <c r="Q51" i="10"/>
  <c r="R49" i="10"/>
  <c r="R50" i="10"/>
  <c r="R51" i="10"/>
  <c r="S49" i="10"/>
  <c r="S50" i="10"/>
  <c r="S51" i="10"/>
  <c r="T49" i="10"/>
  <c r="T50" i="10"/>
  <c r="T51" i="10"/>
  <c r="U49" i="10"/>
  <c r="U50" i="10"/>
  <c r="U51" i="10"/>
  <c r="V49" i="10"/>
  <c r="V50" i="10"/>
  <c r="V51" i="10"/>
  <c r="W49" i="10"/>
  <c r="W50" i="10"/>
  <c r="W51" i="10"/>
  <c r="X49" i="10"/>
  <c r="X50" i="10"/>
  <c r="X51" i="10"/>
  <c r="Y49" i="10"/>
  <c r="Y50" i="10"/>
  <c r="Y51" i="10"/>
  <c r="Z49" i="10"/>
  <c r="Z50" i="10"/>
  <c r="Z51" i="10"/>
  <c r="AA49" i="10"/>
  <c r="AA50" i="10"/>
  <c r="AA51" i="10"/>
  <c r="AB49" i="10"/>
  <c r="AB50" i="10"/>
  <c r="AB51" i="10"/>
  <c r="AC49" i="10"/>
  <c r="AC50" i="10"/>
  <c r="AC51" i="10"/>
  <c r="D49" i="10"/>
  <c r="D50" i="10"/>
  <c r="AD50" i="10"/>
  <c r="AD51" i="10"/>
  <c r="D51" i="10"/>
  <c r="D53" i="10"/>
  <c r="E121" i="11"/>
  <c r="J121" i="11"/>
  <c r="J122" i="11"/>
  <c r="B125" i="11"/>
  <c r="E52" i="10"/>
  <c r="F52" i="10"/>
  <c r="G52" i="10"/>
  <c r="H52" i="10"/>
  <c r="I52" i="10"/>
  <c r="J52" i="10"/>
  <c r="K52" i="10"/>
  <c r="L52" i="10"/>
  <c r="M52" i="10"/>
  <c r="N52" i="10"/>
  <c r="O52" i="10"/>
  <c r="P52" i="10"/>
  <c r="Q52" i="10"/>
  <c r="R52" i="10"/>
  <c r="S52" i="10"/>
  <c r="T52" i="10"/>
  <c r="U52" i="10"/>
  <c r="V52" i="10"/>
  <c r="W52" i="10"/>
  <c r="X52" i="10"/>
  <c r="Y52" i="10"/>
  <c r="Z52" i="10"/>
  <c r="AA52" i="10"/>
  <c r="AB52" i="10"/>
  <c r="AC52" i="10"/>
  <c r="AD52" i="10"/>
  <c r="D52" i="10"/>
  <c r="D54" i="10"/>
  <c r="D55" i="10"/>
  <c r="E123" i="11"/>
  <c r="E122" i="11"/>
  <c r="AD49" i="10"/>
  <c r="D134" i="11"/>
  <c r="D153" i="11"/>
  <c r="D152" i="11"/>
  <c r="E146" i="11"/>
  <c r="F134" i="11"/>
  <c r="G134" i="11"/>
  <c r="C146" i="11"/>
  <c r="D146" i="11"/>
  <c r="C148" i="11"/>
  <c r="D148" i="11"/>
  <c r="M36" i="17"/>
  <c r="N36" i="17"/>
  <c r="M11" i="17"/>
  <c r="M14" i="17"/>
  <c r="O14" i="17"/>
  <c r="K17" i="17"/>
</calcChain>
</file>

<file path=xl/comments1.xml><?xml version="1.0" encoding="utf-8"?>
<comments xmlns="http://schemas.openxmlformats.org/spreadsheetml/2006/main">
  <authors>
    <author>Shadi Eskaf</author>
  </authors>
  <commentList>
    <comment ref="C11" authorId="0">
      <text>
        <r>
          <rPr>
            <sz val="9"/>
            <color indexed="81"/>
            <rFont val="Tahoma"/>
            <family val="2"/>
          </rPr>
          <t xml:space="preserve">This version of the tool only allows you to enter MONTHLY rates.
If you bill residential customers on a different billing period, convert your base charges and the block sizes, if applicable, to their monthly equivalence.
Do NOT adjust your volumetric rates (the $/1000 gallons). Volumetric rates apply as is regardless of billing period.
For example, if you charge bimonthly (every other month), then divide your base charge and your block sizes by two. 
E.g.: $40.00 bimonthly base charge and $7.00/1000 gallons up to 10,000 gallons bimonthly should be entered as
        </t>
        </r>
        <r>
          <rPr>
            <b/>
            <sz val="9"/>
            <color indexed="81"/>
            <rFont val="Tahoma"/>
            <family val="2"/>
          </rPr>
          <t>$20.00</t>
        </r>
        <r>
          <rPr>
            <sz val="9"/>
            <color indexed="81"/>
            <rFont val="Tahoma"/>
            <family val="2"/>
          </rPr>
          <t xml:space="preserve"> monthly base charge and $7.00/1000 gallons up to </t>
        </r>
        <r>
          <rPr>
            <b/>
            <sz val="9"/>
            <color indexed="81"/>
            <rFont val="Tahoma"/>
            <family val="2"/>
          </rPr>
          <t>5,000</t>
        </r>
        <r>
          <rPr>
            <sz val="9"/>
            <color indexed="81"/>
            <rFont val="Tahoma"/>
            <family val="2"/>
          </rPr>
          <t xml:space="preserve"> gallons monthly.</t>
        </r>
      </text>
    </comment>
    <comment ref="C12" authorId="0">
      <text>
        <r>
          <rPr>
            <sz val="9"/>
            <color indexed="81"/>
            <rFont val="Tahoma"/>
            <family val="2"/>
          </rPr>
          <t xml:space="preserve">This version of the tool only allows you to enter rates in $/1,000 gallons.
If you charge based on another volumetric unit, please convert your rates to $/1000 gallons.
If you charge $/100 cubic feet, multiply your rate by 1.337.  E.g.: $1.00/100 cubic feet = </t>
        </r>
        <r>
          <rPr>
            <b/>
            <sz val="9"/>
            <color indexed="81"/>
            <rFont val="Tahoma"/>
            <family val="2"/>
          </rPr>
          <t>$1.337</t>
        </r>
        <r>
          <rPr>
            <sz val="9"/>
            <color indexed="81"/>
            <rFont val="Tahoma"/>
            <family val="2"/>
          </rPr>
          <t xml:space="preserve">/1000 gallons.
If you charge $/cubic meter, multiply your rate by 3.785.     E.g.: $1.00/cubic meter = </t>
        </r>
        <r>
          <rPr>
            <b/>
            <sz val="9"/>
            <color indexed="81"/>
            <rFont val="Tahoma"/>
            <family val="2"/>
          </rPr>
          <t>$3.785</t>
        </r>
        <r>
          <rPr>
            <sz val="9"/>
            <color indexed="81"/>
            <rFont val="Tahoma"/>
            <family val="2"/>
          </rPr>
          <t>/1000 gallons.
Also, convert volumes into gallons. 
If you set blocks or consumption allowance in cubic feet, multiply the block size or allowance by 7.48. E.g.: 100 cubic feet = 748 gallons.
If you set blocks or consumption allowance in cubic meters, multiply the block size or allowance by 264.2 E.g.: 1 cubic meter = 246.2 gallons.</t>
        </r>
      </text>
    </comment>
    <comment ref="D25" authorId="0">
      <text>
        <r>
          <rPr>
            <sz val="9"/>
            <color indexed="81"/>
            <rFont val="Tahoma"/>
            <family val="2"/>
          </rPr>
          <t xml:space="preserve">Enter monthly base charges, also called minimum charges or customer service charges. 
</t>
        </r>
      </text>
    </comment>
    <comment ref="F25" authorId="0">
      <text>
        <r>
          <rPr>
            <sz val="9"/>
            <color indexed="81"/>
            <rFont val="Tahoma"/>
            <family val="2"/>
          </rPr>
          <t>Enter monthly consumption allowance included with the base charge. 
Enter 0 if N/A.</t>
        </r>
      </text>
    </comment>
  </commentList>
</comments>
</file>

<file path=xl/comments2.xml><?xml version="1.0" encoding="utf-8"?>
<comments xmlns="http://schemas.openxmlformats.org/spreadsheetml/2006/main">
  <authors>
    <author>Shadi Eskaf</author>
  </authors>
  <commentList>
    <comment ref="C8" authorId="0">
      <text>
        <r>
          <rPr>
            <sz val="9"/>
            <color indexed="81"/>
            <rFont val="Tahoma"/>
            <family val="2"/>
          </rPr>
          <t xml:space="preserve">This version of the tool only allows you to enter MONTHLY rates.
If you bill residential customers on a different billing period, convert your base charges and the block sizes, if applicable, to their monthly equivalence.
Do NOT adjust your volumetric rates (the $/1000 gallons). Volumetric rates apply as is regardless of billing period.
For example, if you charge bimonthly (every other month), then divide your base charge and your block sizes by two. 
E.g.: $40.00 bimonthly base charge and $7.00/1000 gallons up to 10,000 gallons bimonthly should be entered as
        </t>
        </r>
        <r>
          <rPr>
            <b/>
            <sz val="9"/>
            <color indexed="81"/>
            <rFont val="Tahoma"/>
            <family val="2"/>
          </rPr>
          <t>$20.00</t>
        </r>
        <r>
          <rPr>
            <sz val="9"/>
            <color indexed="81"/>
            <rFont val="Tahoma"/>
            <family val="2"/>
          </rPr>
          <t xml:space="preserve"> monthly base charge and $7.00/1000 gallons up to </t>
        </r>
        <r>
          <rPr>
            <b/>
            <sz val="9"/>
            <color indexed="81"/>
            <rFont val="Tahoma"/>
            <family val="2"/>
          </rPr>
          <t>5,000</t>
        </r>
        <r>
          <rPr>
            <sz val="9"/>
            <color indexed="81"/>
            <rFont val="Tahoma"/>
            <family val="2"/>
          </rPr>
          <t xml:space="preserve"> gallons monthly.</t>
        </r>
      </text>
    </comment>
    <comment ref="C9" authorId="0">
      <text>
        <r>
          <rPr>
            <sz val="9"/>
            <color indexed="81"/>
            <rFont val="Tahoma"/>
            <family val="2"/>
          </rPr>
          <t xml:space="preserve">This version of the tool only allows you to enter rates in $/1,000 gallons.
If you charge based on another volumetric unit, please convert your rates to $/1000 gallons.
If you charge $/100 cubic feet, multiply your rate by 1.337.  E.g.: $1.00/100 cubic feet = </t>
        </r>
        <r>
          <rPr>
            <b/>
            <sz val="9"/>
            <color indexed="81"/>
            <rFont val="Tahoma"/>
            <family val="2"/>
          </rPr>
          <t>$1.337</t>
        </r>
        <r>
          <rPr>
            <sz val="9"/>
            <color indexed="81"/>
            <rFont val="Tahoma"/>
            <family val="2"/>
          </rPr>
          <t xml:space="preserve">/1000 gallons.
If you charge $/cubic meter, multiply your rate by 3.785.     E.g.: $1.00/cubic meter = </t>
        </r>
        <r>
          <rPr>
            <b/>
            <sz val="9"/>
            <color indexed="81"/>
            <rFont val="Tahoma"/>
            <family val="2"/>
          </rPr>
          <t>$3.785</t>
        </r>
        <r>
          <rPr>
            <sz val="9"/>
            <color indexed="81"/>
            <rFont val="Tahoma"/>
            <family val="2"/>
          </rPr>
          <t>/1000 gallons.
Also, convert volumes into gallons. 
If you set blocks or consumption allowance in cubic feet, multiply the block size or allowance by 7.48. E.g.: 100 cubic feet = 748 gallons.
If you set blocks or consumption allowance in cubic meters, multiply the block size or allowance by 264.2 E.g.: 1 cubic meter = 246.2 gallons.</t>
        </r>
      </text>
    </comment>
    <comment ref="D23" authorId="0">
      <text>
        <r>
          <rPr>
            <sz val="9"/>
            <color indexed="81"/>
            <rFont val="Tahoma"/>
            <family val="2"/>
          </rPr>
          <t xml:space="preserve">Enter monthly base charges, also called minimum charges or customer service charges. 
</t>
        </r>
      </text>
    </comment>
    <comment ref="F23" authorId="0">
      <text>
        <r>
          <rPr>
            <sz val="9"/>
            <color indexed="81"/>
            <rFont val="Tahoma"/>
            <family val="2"/>
          </rPr>
          <t>Enter monthly consumption allowance included with the base charge. 
Enter 0 if N/A.</t>
        </r>
      </text>
    </comment>
  </commentList>
</comments>
</file>

<file path=xl/comments3.xml><?xml version="1.0" encoding="utf-8"?>
<comments xmlns="http://schemas.openxmlformats.org/spreadsheetml/2006/main">
  <authors>
    <author>Shadi Eskaf</author>
  </authors>
  <commentList>
    <comment ref="AC13" authorId="0">
      <text>
        <r>
          <rPr>
            <sz val="9"/>
            <color indexed="81"/>
            <rFont val="Tahoma"/>
            <family val="2"/>
          </rPr>
          <t xml:space="preserve">This value is computed automatically as the remainder </t>
        </r>
      </text>
    </comment>
  </commentList>
</comments>
</file>

<file path=xl/sharedStrings.xml><?xml version="1.0" encoding="utf-8"?>
<sst xmlns="http://schemas.openxmlformats.org/spreadsheetml/2006/main" count="1184" uniqueCount="525">
  <si>
    <t>NA</t>
  </si>
  <si>
    <t xml:space="preserve"> </t>
  </si>
  <si>
    <t>cubic feet</t>
  </si>
  <si>
    <t>gallons</t>
  </si>
  <si>
    <t>Gallons/month</t>
  </si>
  <si>
    <t>Utility Name:</t>
  </si>
  <si>
    <t>Billing Period:</t>
  </si>
  <si>
    <t>Billing Period</t>
  </si>
  <si>
    <t>Monthly</t>
  </si>
  <si>
    <t>Bimonthly</t>
  </si>
  <si>
    <t>Units</t>
  </si>
  <si>
    <t>per 100 cubic feet</t>
  </si>
  <si>
    <t>per 1,000 gallons</t>
  </si>
  <si>
    <t>per acre-foot</t>
  </si>
  <si>
    <t>x</t>
  </si>
  <si>
    <t>$5/unit = x/1000 gallons</t>
  </si>
  <si>
    <t>/month</t>
  </si>
  <si>
    <t>/two months</t>
  </si>
  <si>
    <t>3/4"</t>
  </si>
  <si>
    <t>1"</t>
  </si>
  <si>
    <t>1.5"</t>
  </si>
  <si>
    <t>2"</t>
  </si>
  <si>
    <t>1.25"</t>
  </si>
  <si>
    <t>3"</t>
  </si>
  <si>
    <t>4"</t>
  </si>
  <si>
    <t>6"</t>
  </si>
  <si>
    <t>8"</t>
  </si>
  <si>
    <t>10"</t>
  </si>
  <si>
    <t>which includes the first</t>
  </si>
  <si>
    <t>acre feet</t>
  </si>
  <si>
    <t>multiply single unit value by this to get per single gallons</t>
  </si>
  <si>
    <t>1 units = y kgal</t>
  </si>
  <si>
    <t>multiply single gallons by this to get single unit value</t>
  </si>
  <si>
    <t>1000 gallons = y single unit value</t>
  </si>
  <si>
    <t>Gallons</t>
  </si>
  <si>
    <t>Cubic Feet</t>
  </si>
  <si>
    <t>Acre Feet</t>
  </si>
  <si>
    <t>Volumes to compute for:</t>
  </si>
  <si>
    <t>&gt;25,000</t>
  </si>
  <si>
    <t>By gallons/month:</t>
  </si>
  <si>
    <t>Annual revenues</t>
  </si>
  <si>
    <t>Water revenues from base charge</t>
  </si>
  <si>
    <t>&gt;25000</t>
  </si>
  <si>
    <t>Water revenues from variable charges</t>
  </si>
  <si>
    <t>Number of bills (from last year)</t>
  </si>
  <si>
    <t>Interpolate to the 1000 intervals</t>
  </si>
  <si>
    <t>total</t>
  </si>
  <si>
    <t>quantity that drops to previous block based on elasticity</t>
  </si>
  <si>
    <t>interpolated number of bills stolen from next block from last year</t>
  </si>
  <si>
    <t>New max quantity for those customers</t>
  </si>
  <si>
    <t>bills per gallon</t>
  </si>
  <si>
    <t>max at that level?</t>
  </si>
  <si>
    <t>bill per gallon at that level?</t>
  </si>
  <si>
    <t>So how many people reach?  X</t>
  </si>
  <si>
    <t>extrapolated people who live in y</t>
  </si>
  <si>
    <t>people</t>
  </si>
  <si>
    <t>cumulative people</t>
  </si>
  <si>
    <t>people who are there now</t>
  </si>
  <si>
    <t>cumulative</t>
  </si>
  <si>
    <t>to</t>
  </si>
  <si>
    <t>Original ranged from</t>
  </si>
  <si>
    <t xml:space="preserve">to </t>
  </si>
  <si>
    <t>Now these people are using from</t>
  </si>
  <si>
    <t>roundup the min</t>
  </si>
  <si>
    <t>how many gallons from next block did you steal?  Y</t>
  </si>
  <si>
    <t>Borrow IN from which group?</t>
  </si>
  <si>
    <t>if lowering use vs if increasing use. What starting point.</t>
  </si>
  <si>
    <t>Cumulative from last year</t>
  </si>
  <si>
    <t>% increase from last year</t>
  </si>
  <si>
    <t>New subgroups to estimate bills/gallon</t>
  </si>
  <si>
    <t xml:space="preserve">Bills dropped </t>
  </si>
  <si>
    <t>bills/gallon dropped</t>
  </si>
  <si>
    <t>People dropping out of this group to NEXT group:</t>
  </si>
  <si>
    <t>quantity that drops to NEXT block based on elasticity</t>
  </si>
  <si>
    <t>this group net gain or drop:</t>
  </si>
  <si>
    <t>threshold gallons in group that dropped to next group</t>
  </si>
  <si>
    <t>threshold gallons in group that dropped to previous group</t>
  </si>
  <si>
    <t>New group from</t>
  </si>
  <si>
    <t>max</t>
  </si>
  <si>
    <t>Number of bills</t>
  </si>
  <si>
    <t>Check total should be 0</t>
  </si>
  <si>
    <t>Before</t>
  </si>
  <si>
    <t>After</t>
  </si>
  <si>
    <t>Change</t>
  </si>
  <si>
    <t>Group Number</t>
  </si>
  <si>
    <t>Interpolate in which group?</t>
  </si>
  <si>
    <t>cumulative people in interpolate group</t>
  </si>
  <si>
    <t>min of interpolate group</t>
  </si>
  <si>
    <t>max of interpolate group</t>
  </si>
  <si>
    <t>New group estimated (interpolated) bills</t>
  </si>
  <si>
    <t>bills/gallon in interpolate group</t>
  </si>
  <si>
    <t>diff from max and new group (subtract this)</t>
  </si>
  <si>
    <t>number of bills in this portion</t>
  </si>
  <si>
    <t>Therefore: New groups</t>
  </si>
  <si>
    <t>New cumulative bills</t>
  </si>
  <si>
    <t>Bills in this group only</t>
  </si>
  <si>
    <t>Change after rate change</t>
  </si>
  <si>
    <t>Average consumption above 25,000 gallons/month LAST YEAR</t>
  </si>
  <si>
    <t>Average NEW water bill at that consumption level</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</si>
  <si>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</si>
  <si>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</si>
  <si>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</si>
  <si>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</si>
  <si>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</si>
  <si>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</si>
  <si>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</si>
  <si>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</si>
  <si>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</si>
  <si>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</si>
  <si>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</si>
  <si>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</si>
  <si>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c53c1dd2-e4e5-4691-bcf7-344173ba6ea2</t>
  </si>
  <si>
    <t>CB_Block_0</t>
  </si>
  <si>
    <t>㜸〱敤㕣㕢㡣㈴㔵ㄹ敥慡改敡改敡㤹搹ㄹ㜶㤶换㜲ㅤ攵捥㙣㥡㥤㘵㔷㐰㕣㤷戹戰ㄷ搸换戰㌳扢㐰㄰㥢㥡敥㔳㌳戵摢㔵㌵㔴㔵捦敥㈰捡㝡〳昱ㄲ㈳挶㈸㡡㑡㠸㈱晡㘲挴〷〲㠲て㈶㈶ㅡ〳挶〷㘲攲㠳ㄱ㠹挱〷㡤搹挴ㄷㅥ㐸昰晢㑥㔵㜵㔷㜷㑦搷っつ攸㘰愶㜶晢摦㔳攷㝥捥㝦㍤晦㝦㙡㌳㑡㈶㤳㜹ㅢて晦攵㤳㘵攲攲㤹㘵㍦㄰㜶㜱搲慤㔶㐵㌹戰㕣挷㉦㡥㝢㥥戱㝣搰昲㠳ㅥ㔴挸㤵㉣㤴晢㕡挹户ㅥㄴ昹搲㤲昰㝣㔴搲㌲㤹㝣㕥㔷㔱捥㑥昸ㅢ㡡㕦㜴戶敡捦〲捣㑥㑥ㅣ㤹㍢㠱㕥㘷〲搷ㄳ摢㐶㡥㠷㙤㜷㡦㡤ㄵ挷㡡㌷散ㅣ扢戹戸㝤摢挸㘴慤ㅡ搴㍣戱摢ㄱ戵挰㌳慡摢㐶愶㙢㜳㔵慢㝣㠷㔸㥥㜵㑦ち㘷户㤸摢㝥挳㥣戱昳愶戱㥤扢㜶㤹㌷摦㝣㔳㍦㠶捥ㅣ㥥㥣㤸昶㠴改扦㐷㝤㙡㥣昲捥㈹㔱戶戸㌶㈱㍣换㤹㉦㑥㑥攰㙦㘲晥㜸扢戱㌸戳㈰㐴挰愱㠵㈷㥣戲昰㜵㌴散戳挷㝤扦㘶㉦㜲昳㜴㝢㉦㤶㕡㌶晣㐰戳㈷㐵戵慡摢㜱慦㜹晢〸昶慥㙡㉣昷摢㌳挲昱慤挰㕡戲㠲攵㥣㍤㡢㡥㉡〳昶㌱㕦ㅣ㌵㥣㜹㜱搸戰㠵㘶敦慢㔹㤵㙣昸㘴㝡慥㡥扢㐸㑥㑣㉥扦㌸敥摢㤳ぢ㠶㈷㘷攴㜳㘳㔲敡敥昵捡捤㜵㉦敦摣㉦愷㉥㐷㘰㥦㔷㜶慥㠷㤲攳㠶㔷慦㌹摡戹㘶戴昸收ㄹ㕣摦戹㝥㘲㡦㥡摢㕣摢戹㡤摣捡收摡㑡㕦㐴摦㜲㐷戱ㄸ㍤㐷搰㑢㤰㈷㈰〲昵〲㐱ㅦ㐱㍦㠰㤲晤㌷戸㈴搹㤰㐵㙡挹㔰㑢㜳㙡愹慣㤶㉡㙡㐹愸㈵㔳㉤捤慢愵〵戵㘴愹愵ㄳ㙡改㈴敡挴㑦扥户㔷㡤ㅥ昷挴晣㡢㍦㝢晤敥愹㙦晤攵㔸收ㄲ昷つ扢㝦ㄳ㉡摤ㄹ㑤㙡捡㌳㑥㠱搴ㅡ㔴扣愳戸㥤㝦㔶攷ち㌰㠵戹换扣搱ㅣㅢ慢散摡㙥摣㘰㘸㕣㔶ち昲㥢〸㘵〸㜵晢捤扢㉣愷攲㥥㤲戸扢㜸挲昰㐵㘳攳㐶愳戲〹户收㔴晣㡢㔶㉥㥣〹㡣㐰㕣搸㕡搶攸愴慤搹っ搸㑡昸㜲扣㑢㕢㥢ㅤ㌷慡㌵㌱㝥摡ち㡢㉦㘹㈹戶愷㍤㜷慥㜳改㕥㑦㍣㔰㉦㙤㥢搱㌸㠴摡㤲散扢㙤㤵㘱㔱㌸慦㤱挹〵搷ㄷ㡥㥣摥愸㍤㙤㤵㑦ち㙦㐶㔰㈴㡡㡡㕣敡戹㉣㡡戸㝥昴㠸㠳㠵㠲㕢㉢ㅦ㑥收㥡户㥤づ挰捣愲㠲昹㉥ち㉦㔸㥥㌵收慡攲扣愶㉡攱㤸㈸搸摡㤴扤搷㉤搷晣㐹搷〹㍣户摡㕣㌲㕥㔹㌲㈰㘹㉡㠷摣㡡挸㘶㌳㔲㈸㐰攰昶昴㈸㑡收扡捥扣㈰ㄱ㤱㐰㌱ㄹ昹㠲㘶戲㉢ㅥ挵敡戰㡡慡㈰㑤慡㔷慣搲ㄹ攷㉢㘵㑣ち〷㈶搶㐴晤挱㐱慦㔹愵摢㍡收摥摦捡慡㍡ㅣ慤晥戶㈵攱〴晢つ愷㔲ㄵ㕥慡昶㔳㌸㈳㝤㄰㐰㍢ぢ㠱搰㜱昷愸敡㤴搳捡戲㜶捡慡〴ぢ戹〵㘱捤㉦〴挸㠳㠶捣攷戹戵㙤㡦㝥づ戲昴捤〴挳〰㠵㐲㈶户㠵㤵㜲〵㍣ㄹ㡤搲㈹㠵㤷㥢〴㌹摢㌵昱㜲扦戹搷慡〶㈲ㄴ捡㠳㈶㌰ㄲ㙡㌵㠹扥〱㤲愸㘷㤴㐳㠵戱挵㥣〴㤵ㅡ㤶ㄳ㉣㌷昸戶㡤㑢㐲㈲摡㤰〵敢㑥ㄶ㔰ㄴ㌴换㠳ㄴ㕥〳搱戴㐸㠳昴捡〹㈲㈲ㅢ愴㘸㜶昴摣㑣㘴慣㥦㈲㈳㔰㍦㐹㠴慣扤扤戳㡣㈰戱户ㄳ㈹ㅢ㜵攴挷つ㘹戶㤲㉤ㅦ㑡戳㜳戱㜱晡㜹〴攷ㄳ㕣㐰戰ㄵ㐰㜹〳ㄲ㡥㔲づ改收㐷扦〸敦晡挵〴㤷〰㐰㍥改㤴㌹㤱愸愲つ戵ㄶ㍢㤲昵〶㘰㈷㑢愳㌸ㄴ㐵戴㡣敢㜶收㠰㉤ㄱㅤ㔹㥤敢㐳搷㘶愵㡥扤慡㌳㙤㈶㤷㐳㡡㑣愹㥡㕣敢㉡㔵㤳ㅢ挱慡㕤敡慤换搰㔴ㅦ㈱昸㄰㐰愸㔸㘸散慥捤㥡愷㌹昹㠱㌰㠹㐲㐳愸㑢攵ㅥㄱ㌱捤晦ㄴ〱搷㜶㜴搹戰㥦㘹ち㡥㥡ㅦ㜸晢㜹㕢㘷摥㡥㤰摥愲㌳㌷㜴づ㝤㐵敦搰㠲晥㌰搸㑢昹㜳㐷晤㜲〵㡡昵㉢〹慥〲㘸搱㉦㍣㜹扦㔳㉦㠱㌴㠹敤〴收㌶搳攳㈲㉤摣搹攵㐵㈱戵㑦扦㌹㙢㜸昳㈲㠰昷攲挰ㄴ散㘰搷昳㐴ㄵ〷摡㡡捣攰搹攵晣收㑣㝦慦攷摡捣摦戰㡦晤て㠴㘲挸㘶搵㥥㑣㡢㝤㥣㘲㘷㈶晣㑤〹捡愱晥扤愱戳㤰㐸㌴㙡㈶㉦戶㑢㍦㕢㙥㐸㤲㉥㈴挹㌵搸㔶晤㕡〰㐸〹攵㡦ㅤ㈵捡㈸慢㙤㤳搵㥡慤㔵㝡昷㔲㑥㈶㉤晥挳㌶㌹搲ㄷ㍡㙢㈷攰㍢昰〷散ㄹ换慥ぢ㡢㍥㝢㕡㜸㘵昸ㄵ慣慡㈸㠴㉥㔹㡡㥡つ㔹昱〱㤱ㄵ㍤㍤㙤㘷改ㄴ摦㥡愴㤳ㄶ㈹㤱捡敤愹㠵㈹攷昰〶㔱搱〵㐹愱㤲攲ㄶ慡㑢㈰㔲ㅥ敢㙥㠸㤸㉥㐴㑣ㄱㅢ愷㕦㑦戰㥤㘰っ㐰晢㍤㈴捤㕡㌷㥥愱戰摥㈵扡戳㑢愵㑣㥥㘸㤰敥挱㔷㍡ち慢㥤ㅣ㘶ㄷ挱㐷〰㕡捣ㅦ㍡ㅦ㔳〸㔱愲㍣㐱㠸戴㤶㜴昳戸㈵㑥㤱〶㌶㤹〸㉡㑤搶晣挰戵ㄹ㔵ㅡ㌰愷摣挳㙥㌰㘵昹㡢㠸㐲つ㥢㔱攲慥〵攱㠰扡㍣搸㍥㉤㜹敥攲愲愸攸收㡣㕢㠳㘸㍢㌰戵ㅥづ攵㔸ㅦ㙣㐹㜹㉥㔷ㄵ㍣摤㥤㡤搱㠵㈲㑦挴昰戵搲ㄳ扢㈶捦㌷て㝤㠳㡤ㅤ㥤戵㠲慡攸㌳㐳愶㘳㍡㙦㘲ㄷㄱ㌵愸昴㥡戳ぢ㥥㄰㔳〳收㍥捦慡㔴㉤㐷㄰ㄹ戰㌱ㄹ愸㍢㈸收ㄱ㈱㤸㜶ㄹ晦㜳㥤〱㜳搶㌳ㅣ㝦搱㘰㌰㜱㜹㜳搳㥢っ㠹㘸收㠴攵昸ㄸ㐶㘲㤱改㐱㜳㘶挱㍤㠵㘸㙤捤㜶昶ㄹ㡢晥扡挰ち㠹㍥㝣㈴㙡ㄴ㔵㔱㔵㈵慦收扢挵てて攴㤹捣づ晣戲〴ㄲ㔷ㄹ㡤晥昲ㄴ敤㑤扢㍥㡡捦搰㑥攷㥣晡ㄱ㌹慡㘷昶愴㑡㘱㜲慡㝥ㄳ摢摣っ㜰晢扥㘳〷ㅡ㔱戹㜷ㄵ慦搶攸攱㑦㤱昱㤲㉣敡㐱㄰晡攷㌶㠵愴挲㍣㔲づ㌸㄰ㄸ攷㕢㉢昹ㄵ㑣㔹㠷搴户愹㤱摣㡢㈸㔲扦㜹搰㤸ㄳ㔵挴愲㙤㈳搸ㄴ扥搰㡣戵㡤慡ㅦ㤵㑤扡戶㙤㤰戴㐸㤶㌳㘵㠳ㄴ㍣㕥ぢ摣㐳㤶愳㥢〰㤲晥愲㉣攳㌴戲㡣搳㌲慢摦㍣捡戰愰㑣戳㉦㜷摥昰慣㘰挱戶捡㜹扥㌰㜴户㉥㘸ㄲ㑣㑥挹ㅢ㍦戱捣ㄸ㘹戱收㡦挱㘴昳㡢㐰㜷ㄱ㜲㤴㕢㐷昴㠳㜲㔵㈵㠷㍦㑡㤷㡥㈵〸ㄸ改㈵搵㙦㐱㙦㥡扣ㄹ〱㤱㈳㥦戳昱晤㡢戳て㈳㈷昴换ㄱ敢㈹㈴〲㡦㘰㐲挸搳扤㥤㌳㡦㌹㔶〰散ㄱ㘳㝢慤㘰捡〷捡〱㤰㤴挷摢ぢ㈵㔶ㄳ㡤㐶敢㕡攱戲昶愲㈶㌵㜱㘹㝢㜹㔲㙦㕣戱㐲㜱愸㔱ㄲ㡡㘴戵㑡㔲戳慣㌰挷昵愴㙡ㄴ愹戸㘳㙤愳愴戹㑤ㅢ晢㑥㈹昲㉥ㄴ㤳愴㤹㡣扥㕢ㄲち㠲扣愴づ攸㈸晡敢搳挹㈳ㄱ慤愱つ㔰愰㥥ち昳〶愲㜰攰〱㕣㌹愹㠸㐲昴〶晥摥ㄴ㈵㡦搴㠲愶ㄲ攳昴㜰㔴㌲㕥慤ㅥ㜱㘰㈵㤴つ慦戲㑥㔸ㅡ㙢ぢ㌵㡣攴捥㙥戵㝦戸扤〹㐶㡣搸㤰㈱㤱ㄴ㍦㌰搸㄰捣㤵㠸愶搲㍡ㅢ攰㔶搷戳昳㝣㍢㈴っ㐷㘲㘰㈶愸㑣㠹㈵㘹㠶㌵㉣昹㘱搹愰㝥㕡㤴㜲㔴㌷挷攷㝣愸昴㠰㜲㍣㑡㐹〶搷捤愳㜴㑢攱〲〳挴㙥㤴㥡㉥〷〸敢搶㍢攰挹㘰晤㘰〷㍢ㄲ㠶㑤㘸㥤㔱㠲收㔲〸户㜹ㄱ攴㥤㉥㌱ち㐱㙡捡攷㕦㝢㤴敦㍥挱攷㈷㝢㌲㜱㈲㘲㈲㠶扡㔲慣〷㈰㌷ㄹ㤵㈴ㄷつ挷挱昲㔰戲㐹愱搵ㅦ攷搱挴ㄸ愰挹攷〵戸挱挳㌸搶㈰搹愶㡡㍢㙥㠱〵㙤㕡㕤摥㘴ㅥ㜰捡搵㕡㐵㐸㔵ㅣ换㙡愹㤱搷〵扥攴昵扦㤰㥢㔲昶㈵摡㤴〳㌸㑡㜱挹㐴㔲昷㜶户晥㜱㌴㤷㐲づ㝤㠴戲㡤挱挷ㄴ户㥣っ㠶戵摤㔱愰㝤戸戹㜱㜹㐱㕥㥣㠳㐸㙢换愲㉣㍢㠸扢㜸昵〸戲攴戶㐴戵㠳敥㐱㤷㌶㝢㈲㙢扦ㄵ㘶慤ぢㅣ㘱㥤愱挰换攵㘰㡣㜴挹ㅤ散㈴㜳㌶㡡散㥥㝤㔸扥㘶捥敥㠹㡣て㠵昱㕤㥥㠲㌲搸㔵㌰ㄲつ㙥戵㘱㜵㉢㡣晣搲昲搶㙦〵㔰ㄸ〲愶㐱㡢㥡愱㠱㌳㠱昴敡〶づ㠳㤱㈹搱搱㘴㈰㤵㌱捡㘱㌸散㠱㌴㜰ㄳて搲戳㉥㤴㔰戰㐵㕥ち㡢敦㈵㡥摡㌸〲戹摥㜹㉤㤹搳㐶㠰慢㉦捥搶㤶散昱㑡㠵收㉥晣㜳敢〲慢戸戶ㄱ㥡愳㕢㕡㉥㘴挹㌵搱扥扢扣愵㈰扡㈸戸㘳慡戸摦〸捡ぢ㌳挱㜲㜸㘹慢㕢㤲搰㝥〹㝦挴㡡愳搳㘶捥㍡扣㠴扡挴扤㉦㥣㜴摣㔳㡥㥣㤷收昳挶ㅦ慤㔸扤户㤷㤳㉣㘴摥挶ㅦ昹愸ㄹ敤㈵昴戸㤶㘹戳㠳㠶㠳㠴晤挸㈷㤴〶㈳㐸愷搰〹㙣昷晡㡤〱搲挹㤶ㄶ㍡㤱㠲㘰㠳㔰㥣昹昷㡣㔰㤴ㄷ㠱㔶ㄲ㑢㜸㈴挷㥥㍦〳搶㔷㝥㠱ㅣ㈲ㅣ敦㤱ㄸ搱㍥㠴㔴ち敡愴㈰㡦慥㜷昰㌲挸晦て㤶㘲㙥㕥㤱㥤晥ぢ捣慣扣搰㡡愲㑢㠹愲攷摢㔱挴㐰散㍢ち㜹㜳昶ㅢ㐷捤昷晤㕡敦晦昰愸㜹㍢㌰捣㐷㕡㘳〸慡㌱ㄸ㕦㌷〶㝡摡㡣㠱㉢㔱㉣㡤㠱㍢搸㠶昱晡搰ㄸ㠸扣ㅤ㠷㤰戱扡㌱挰㈸㕥㡡挹㤷〸慡㈶ㅣㄸ㍣㙢㥤㘷搳ㄳ戶ㅦ搷㙢㠵㡦挸㍤搴㤳㍦〹摦搳昹敤搹搳㠶㘷搸㕢㘵晥㍥㑦㐰㙤㜹戳戸慦㉤㥢戰挵㠵㉢㤶挸㐶㉢㜸㈵㘲㝦晡㠶攷㘴㙤户搴㠱愹昰〹ㅤ昵㑡㕥挹扤ぢ㥦㠸挲ㄳ㐲收㔳㕢㝥扡敦慦て㝥㘱て敦愵㐵戴慡㌱㄰摣㑤㜰㥥㤶〳挲户㠹㉢㈱攷昲昳㥢㐳昸㄰挹㕡慣㡡〹挳㤳昶㡥慦摢㜱㌲㈴扣〴㘱㠶挴户ㅥ㡣㐹摣㜰〸㡤挹㘲㡢㘳㔳㝥扥㈴㥤㠱挵挴挴愵昷㉥づ㄰㉡ㅤ㔵㔶㤷㜶愵昶㜳㈸㥤㜷㌸㤱㘶㝢㤰攷㑢㍥㡡昲㙣慢㔶摢㐵慤㈶捤㐴㘵ㄴ㌵㘲㈹㠵㐸〳㈹㈴㜹㘴㘱攸㕦㑡愹㘹㈴戴㈲㐰㑡っ慤㌵㤸换㤳晦㠶㄰㄰昵敢㝤㕤㝥慡㠲㕤〴ㄶ㘳慦㝢户㘷㔷㕡㥤戱㙡㘲㔰㔶㥥㍥敥㐴㐲ㅥ㔳㤸挱㈸慤捣㍤㡡㐴晣㘸㘳㐸慤搹昱挴㐱〶散㌰挴ㄶ㌲戶㘶搳慢㔶戰㙦㜳㙡戸攳〱㍤㤳㤳ち挳搹捣㙣ㅣ㍤㘵㌴㉥慣㕡〸戳〸〷挳㘴扤㔱㕦㔴〴㥤攵㙣挵昹ㄳ㘱㍥㝥て挴昲搱㐶搷攷戶㤶㔰挷㌹扤㔸㈰㝦戰扦㉥㑤㘱㙣㡣㑡㡥㠱㠴㕤㔳慤㝣㜸〹㝣〶㑤愴㍤慦攸㡤㈴挷㔲ㄴ㐶愳㘳捥敡㔱摢昴㍦攳搴㤲戳㘶㔹㥢〱敢㈶晤㝦ㅣㄹ慢敡㝦㠵㔱㌶㠹戲扢愲〴㕦㌴㐶㑡㔶つ捥㜰㐷攰挳㐶㤸㐶ㅥ㠱㜵㤹㘴㜰㍢㑣捤攰ㄳ搵戰㔸㑡㜰㜸戸戲慤㤷㈰敡㙤㘹摢昶㜵ㄴ㠰㡣〲㘹㍦㠶〸敡搸㥥㤳㙥㍦挷收敥㐱昶㤶㐳㔶搹㜳㝤搷っ㐶㘶㄰摥ㅤ攱ㄷ㘶㈶㙣㥥㜱攵㤹㔶愱㜶㌹㜶愲晦㕥戴㌹㝣〴〲晢戰〸摥慢愸㈳㘳〸㙢㡢㔹昰㙢愳愱㐴㈰㠹摡挱㍦挷扣戳㘶㔴昱㠱敡ㄱ㜸㌵〳㘶慤ぢ㘵ㄷ晡㤶㕢敦㘲㜰敢㜰ㅢ敢づ㜸㝥㐴戵㠸㌰㤸㕣挲扤昷㜱㕦㕢昷愰戹㙥戴㌶㥦㌵扢昳慥ㄵ戴ㅦ〱愷㙢ㅢ愵㤹㘴㌸㈶扦㍢㉥攸昷ㄱ㈲捥㐳敦攸摡㕤戱散㙤ㄸ㜴ㅥ㝤戶㑤㤷搷㘸ㄵ㡥戲㌵挴戹㍦㠹愶捡慤〴昸改愵㈸挱ㄷ㠵晥扣㕢㤸㜸ち换㈲〳㈰㥤挹ㄹ〰㥤愹晡〷㉢㔱戵挲愳〵愹戰愰㝣ㅦ攵摣愵㜰戵ㄵ收攱愸㈱㡦㄰㐸敢〲㈰㝥ㄴㅥ㈱攴昸摦㐵㠳晡昸昳挸敤㍣晥㜷㔶ㅣ㥦捡㕦慥㉦搹晦㔰慣㍣昴ㄳ㈸搶㑦ㄲ㔴〹㙣㠰愱㔸㠷っ㔲㉣㔲搶攴挲㈰挲ぢ㝢㤰挶昳㠷攸摦搷昶扣昲㌲㥦㝦敥㔱愴㈰㐴㔱昳㉡㈸〸攵㉡扥㤱㕣挵㈲㜲㍢慦攲敢㉢慤㘲㠸㌲㤲㌳搱㍤㠰㠱ㅥ㠵戴㈲㔷攵㈳挱つ攵㑦㤱〸㐵愲㘹ㄶ㐳㐴慣㙣㕢㐳〲㙤戹昳戲敤ㄲㄲ㜱摢愱㜸㝢㌴敥㐸捡户㍣搲㔰攲摤㐷扡㙦㜲愱晦㌵ㄷ慡挷扣ㅤ㌹㕥搷㠵㤰挰摡昸㜱㙣㐷搹㥥敢㌲愸慦㍣ㄶ㘳㘸晦晥昸㐳㈹㌵ち㌳㠱㐲㐲搳㤴ㄴ挵㡤㔴扥ㄴ㔷㝥昶戹㠶㤷ㄴ〵㜸㐰㐶㘱㘵㔲㥥慣晣㘸㕣㜹〷㍥挲㤲㜵㌲扣㌴挰攷戵戸㌲㈹㔴㔶㝥㈴慥晣㡦ㅤ㕢敢㤵㘳㠲っ㝢搶㐸㉤㈹㐶慦㍣〶㈴㍥挸收改㕡㌳愹㐸晢捣㌰㥢㈲㔴㐶㡢慢㔲㤵昶攳晥㠷㠷㑦愲て攲㍡ㄳ㙥㝤㐰摡㠶晦㌳挲〱㕣㜳㥡㌲〲〳㕦㍣㉦㈱扥散改昲㡤㡤㜳收ㄱてㄹ扤收〱ㅦ㠷慢捡扡㈲ㄱ搸〵搹㜰㝦㔷昱挳愷搸㤰㡤晤㠸攳㘲㉡慦㡤㜴愷㐵㘴㉣㈵慢㝣㈱挶㙣收㑣㠳㘶昴㑦〳㌹㤰㤷㠰㑣攸㥦〱っ㘳㉦㕢㤸㌱㐴㐱㈰戹晣っㄲ晡㘷〹㍥〷㔰㔰挸昵愴㠳摣攷〱〶攳晦㤷㘲㘴㐹㍡㑥㔴攵愱㜸戰㈴ㄹ改㕦㘴㠳㐷〰㝡攰戱㔵㈲㈲㉣攸㡦㈲㈷㌹㈸㈵㠸ㅣ昴㌱ㄶ㝣㤹攰㉢〰〵㡤㤳㕤昳慥㜱㑤㕤慡戰慦愲愹挲慤㤰〲敤㙢㔱㠲㉦摡ㄹ㠰㕢㍡ㅢ捤㍣ㄳ挷摦昱㈳扡搹昴挱晥㙤昸〰㝦㤹㡢敥挱晦㍦愲㐹ぢ㍦慢㝥戴扢扥挸〴ㅡ攷挳㥦㠷捤㝥ㄷ晤㜰㕤つ㘳㤳㍤㝥っ扦扣㥡㔳㍥㡢㝦捦攰愷㍣㠰ㄱ㌸ち㔵㙥ㅥ晥ㄶ搲㠰㉣㔸㡣ち愸扢昴㙦〰㈸挴㌱昱愴㍦捥㌷愲㤶晤敢摦㡣ㄲ㝣㔱㠸搷㌳㑣㔴愳收昱㠰挴戵㉣㌸搹㌲㈰昱㉦ぢ㑥㈴〷晣㌶㜲ㄵ㠹㉣㈴㥡搵ㄳ㤱㤶㘵敥ㄳ〰〳㍤㠳㥣ㅢ搵㥤㝡㕡㈹摦㕦戹晦晥㌷〷戳㈳ㄷ㘶敦扥戵晦㠹搷㝥昷晡攳慦㝥㘲昷摦摦㝡昲挹㔷晦昶昸换㙦扤㌴户晢㌷㑦㍦晤敢摢㝦昸昲敢㥢捤愷搴攷摥㍣昸搴㐳㘳㈷ㅦ㝡挰㍣㜶摤扥㠷敥㌹㜱攷搸昴㌹愳㍤㍤扤扤㔷て晦昶㠲㙢㠶捥㍣昰扣昲慢㍦㥤敦㈸㜲戹ㅣ㔰〰挴捦㄰㤷㉤愷昱㍤㈴㌰つ捥昸㝤㥤〶㤷㝢〶㍦愵ㄲ㙤搴〴㕥昲㜰㙥㜰〲戲愰摣㕣搰昷ㅦ捡〹戳て</t>
  </si>
  <si>
    <t>Decisioneering:7.0.0.0</t>
  </si>
  <si>
    <t>85e898da-9f7d-4cf5-b06e-f7957bdd2922</t>
  </si>
  <si>
    <t>CB_Block_7.0.0.0:2</t>
  </si>
  <si>
    <t>Decisioneering:7.3.0.0</t>
  </si>
  <si>
    <t>Coefficient table without SE's</t>
  </si>
  <si>
    <t>percent2008_0</t>
  </si>
  <si>
    <t>percent2008_1</t>
  </si>
  <si>
    <t>percent2008_2</t>
  </si>
  <si>
    <t>percent2008_3</t>
  </si>
  <si>
    <t>percent2008_4</t>
  </si>
  <si>
    <t>percent2008_5</t>
  </si>
  <si>
    <t>percent2008_6</t>
  </si>
  <si>
    <t>percent2008_7</t>
  </si>
  <si>
    <t>percent2008_8</t>
  </si>
  <si>
    <t>percent2008_9</t>
  </si>
  <si>
    <t>percent2008_10</t>
  </si>
  <si>
    <t>percent2008_11</t>
  </si>
  <si>
    <t>percent2008_12</t>
  </si>
  <si>
    <t>percent2008_13</t>
  </si>
  <si>
    <t>percent2008_14</t>
  </si>
  <si>
    <t>percent2008_15</t>
  </si>
  <si>
    <t>percent2008_16</t>
  </si>
  <si>
    <t>percent2008_17</t>
  </si>
  <si>
    <t>percent2008_18</t>
  </si>
  <si>
    <t>percent2008_19</t>
  </si>
  <si>
    <t>percent2008_20</t>
  </si>
  <si>
    <t>percent2008_21</t>
  </si>
  <si>
    <t>percent2008_22</t>
  </si>
  <si>
    <t>percent2008_23</t>
  </si>
  <si>
    <t>percent2008_24</t>
  </si>
  <si>
    <t>percent2008_25</t>
  </si>
  <si>
    <t>percent2008_99</t>
  </si>
  <si>
    <t>percent2007_0</t>
  </si>
  <si>
    <t>percent2007_1</t>
  </si>
  <si>
    <t>percent2007_2</t>
  </si>
  <si>
    <t>percent2007_3</t>
  </si>
  <si>
    <t>percent2007_4</t>
  </si>
  <si>
    <t>percent2007_5</t>
  </si>
  <si>
    <t>percent2007_6</t>
  </si>
  <si>
    <t>percent2007_7</t>
  </si>
  <si>
    <t>percent2007_8</t>
  </si>
  <si>
    <t>percent2007_9</t>
  </si>
  <si>
    <t>percent2007_10</t>
  </si>
  <si>
    <t>percent2007_11</t>
  </si>
  <si>
    <t>percent2007_12</t>
  </si>
  <si>
    <t>percent2007_13</t>
  </si>
  <si>
    <t>percent2007_14</t>
  </si>
  <si>
    <t>percent2007_15</t>
  </si>
  <si>
    <t>percent2007_16</t>
  </si>
  <si>
    <t>percent2007_17</t>
  </si>
  <si>
    <t>percent2007_18</t>
  </si>
  <si>
    <t>percent2007_19</t>
  </si>
  <si>
    <t>percent2007_20</t>
  </si>
  <si>
    <t>percent2007_21</t>
  </si>
  <si>
    <t>percent2007_22</t>
  </si>
  <si>
    <t>percent2007_23</t>
  </si>
  <si>
    <t>percent2007_24</t>
  </si>
  <si>
    <t>percent2007_25</t>
  </si>
  <si>
    <t>percent2007_99</t>
  </si>
  <si>
    <t>samplechangeinavg</t>
  </si>
  <si>
    <t>2007 = current year. 2008 = predicted year after conservation</t>
  </si>
  <si>
    <t>Percent of bills</t>
  </si>
  <si>
    <t>Expected average use</t>
  </si>
  <si>
    <t>gallons/month</t>
  </si>
  <si>
    <t>Default predicted percentage of bills</t>
  </si>
  <si>
    <t>Predicted percent bills</t>
  </si>
  <si>
    <t>Percent bills after elasticity</t>
  </si>
  <si>
    <t>Utility's</t>
  </si>
  <si>
    <t>Total percent</t>
  </si>
  <si>
    <t>Missing piece?</t>
  </si>
  <si>
    <t>Evenly distribute the difference</t>
  </si>
  <si>
    <t>Predicted percent bills part 1</t>
  </si>
  <si>
    <t>Total must equal 100%</t>
  </si>
  <si>
    <t>Predicted number of bills</t>
  </si>
  <si>
    <t>Average use over 25,000</t>
  </si>
  <si>
    <t>CB_Block_7.3.0.0:1</t>
  </si>
  <si>
    <t>b6625640-ad93-4354-a765-43ccc6ab654f</t>
  </si>
  <si>
    <t>Percent change in avg use</t>
  </si>
  <si>
    <t>Range</t>
  </si>
  <si>
    <t>Revenue</t>
  </si>
  <si>
    <t>Total annual revenue</t>
  </si>
  <si>
    <t>Total fixed revenues</t>
  </si>
  <si>
    <t>Total variable revenues</t>
  </si>
  <si>
    <t>Fixed revenue</t>
  </si>
  <si>
    <t>Change in total annual revenues from revenues under CURRENT RATES</t>
  </si>
  <si>
    <t>Revenues under CURRENT rates</t>
  </si>
  <si>
    <t>Expected change in total annual revenues due to the implementation of PROPOSED new rates, without changes to demand due to weather or conservation programs</t>
  </si>
  <si>
    <t>Revenues under PROPOSED rates</t>
  </si>
  <si>
    <t>Bar chart</t>
  </si>
  <si>
    <t>Min revenues</t>
  </si>
  <si>
    <t>Increase to max revenues</t>
  </si>
  <si>
    <t>Points:</t>
  </si>
  <si>
    <t>Legends</t>
  </si>
  <si>
    <t>Full chart</t>
  </si>
  <si>
    <t>Total annual revenues under CURRENT rates and no change in customer demands</t>
  </si>
  <si>
    <t>Portion of revenues at risk of decline for switching to PROPOSED rates, including price elasticity effects, but with no additional changes to customer demands</t>
  </si>
  <si>
    <t>min</t>
  </si>
  <si>
    <t>Potential gain for switching to PROPOSED new rates</t>
  </si>
  <si>
    <t>PROPOSED rates, no conservation</t>
  </si>
  <si>
    <t>Portion of revenues at risk of decline because of significant conservation resulting in 5%-25% reduction in average customer use</t>
  </si>
  <si>
    <t>Portion of revenues at risk of decline because of significant conservation resulting in up to 5% reduction in average customer use</t>
  </si>
  <si>
    <t>Marginal Price</t>
  </si>
  <si>
    <t>Total Charge</t>
  </si>
  <si>
    <t>Start of this segment</t>
  </si>
  <si>
    <t>Previous marginal price</t>
  </si>
  <si>
    <t>Volume at this marginal price</t>
  </si>
  <si>
    <t>Volume at previous marginal price</t>
  </si>
  <si>
    <t>Volumetric price</t>
  </si>
  <si>
    <t>Block max bill</t>
  </si>
  <si>
    <t>Total bill at start of this block</t>
  </si>
  <si>
    <t xml:space="preserve">Monthly bill  </t>
  </si>
  <si>
    <t>Total monthly bill computed from PROPOSED NEW rate structure (residential, 5/8" meter)</t>
  </si>
  <si>
    <t>㜸〱捤㔸㑤㙣ㅢ㐵ㄴ昶慥扤敢㕤摢㘹㐳晦攸㍦〶ち戴㑡㌰㜱㝥攸て㔴㙤㙣㌷㍦愲㑤〲㌶敤〹慤搶摥㔹㝢挹敥㡥㤹㔹㈷㌱㠸ㅢ㜰㠰ぢㅣ㤰㡡㠴㠴㔴㜱慥㌸㜰㐲㐸ㅣ㄰㐸ㅣ〰挱愹㐲㔴〲〴ㄲ㈰㈴㑥㔰㉥〸摥㥢戵㔳摢㜱㈰つ㐱敡戴ㄹ捦捣㥢昷㘶收捤㝢摦㝢戳ㄱ㈹ㄲ㠹晣〵〵㝦戱挴戰㜱戰搸攴〱昱㌲㜹敡扡愴ㄲ㌸搴攷㤹㐹挶捣收㜹㠷〷㔱㤸愰ㅡづ搰戹㘲㜰攷㔹愲ㄹ㑢㠴㜱㤸愴㐴㈲㥡愶换㐰㐷㈱昸㌷搸敥攸挸㤵㡡㐱㔵捡攷收换㑦㠳搴㘲㐰ㄹㄹ㑥㕦っ㜹㑦㘷戳㤹㙣㘶㙣㍣㝢㌲㌳㌲㥣捥㌷摣愰挱挸㘹㥦㌴〲㘶扡挳改㠵㐶搹㜵㉡㡦㤱㘶㠹㉥ㄲ晦㌴㈹㡦㡣㤵捤昱ㄳ搹昱㠹〹晢攴挹ㄳ㈹㔸㍡戲㤰捦捤㄰户づ昲戶㑡慡ち㔲攷昲戹〵㐶散慤㤲愹愰㈲戲〵㔲㜱㔰㘳㠴㌰挷慦㘶昲㌹昸摦愱ㄵ攸ㅤ捦捣ㄷ㡢挴攷㑥攰㉣㌹㐱ㄳ捦愷㝢昳㤵昲㐵搳㙤㄰搵ㄳ㕢搲扣㡢㈶㥢㌳㍤㌲攰㍤挹挹ㄳ愶㕦㈵搸㔳扣改㠶㘳挵攰㈶愳挷晡㉤搴㔲㔲㘶㍥㥦换搷㑣ㄶ〸㤱戸挰㐳晤㘶㡢㤵㌲ㅤ㕢ㄱ㍣㘲ㄴ搵㈳㈵㕢戶㈲搶挴㕤挶戱搲愰㔲㜵愸㜶㜶㜰愶〵㙢㍡㉢挵㝥〷㡢敢㘴㑣挲㑣搹㌰㘵愳㉣ㅢㄵ搹戰㘴㠳挸㠶㉤ㅢ㔵搹愸挹㠶㈳ㅢ㑦换挶㈲捣㘹ㄷ㉤ㅥ㤷㕢愵㝡慦㜲㘵攱㤳㕦捦扤㜲敤挳㌷㝦㝥㤵扦㥣㐲㔹㜳㜰戶捣ㅣ〹戶挸㄰ㄴ㍣搳挶㜵㤹㠲搹㡡ㄷ㕥㐵㠱昰㡡㡥昷㌴敢㕢㘴㐵㠵ㄶ摣㕦捡换㔳㍦㈰㉢㐱挱っ捣戸户㘰㌲攲〷㍡㑣ㅡㄲ㕣㘱ぢ㌹〷挴㔸㥢㍢搱敡㠱㠴㐱搱散㤰㤲ㄴ〳愱㈴〹㕣㉦ㅡぢ㙢㑤敤攷捣㌳㈶慦〵㘶搹㈵㐷㝡慥ㅣ昵〶㔶昶㘴攰戸㍣〳㈲愷ㄹ㙤搴㔱愳㕢㈵㐷ㄸ㌲ㅡ㠶㍡〰㤵㠰ㅥ晣㠵〵捥敡摢攰㈷愱㈳㔱㐷㈲挲ㄲ晣㐰㘹搳㔲㍢愰〳㕢㉣㔰捦㜴晣㉤扡摣搴㑥㄰晡㜸换㡡ぢ捣㕣〶㡦扣㈹㝡㌴㌳㠲晦晥ㅤ㤲〰㤱散〹晢戸㥤捤㕡ㄳ㈳收㤸愹愰ぢ摣慡㐷敤〲㥥㤴㜷挹昱㉤扡㉣㕣㙣㠷〷晥㈳摣愶搴慣ㄳ㌱㤴戲㑢㈶慢ㄲ㜰㕢㌶㕢搸㘵攷㈹㘳挴㌵〳㘲㠹〱㐴攸㍢扢〷昹ㄴ愳ㅥ㡥ㅦ捣㤹㥣摣㜴摦㈱㍢㕣㈸㐷ㅢ扥挵て昴㈷ㄶ〳㄰扤扦㤷㜶㔳挸ㅡ戶㈲㐰ㅡ攱㘲愷㠷㝢搹㠴昱㑦慥㌸㈱昹㔰てㄹ㐰㡤㤶搷愷㑥㌱昲捣㉡㜵捤㡥㈶㈱㑣㉤ㄱ愴慦㌹㘵㐸ち昷〵㄰㐴㌹昱挵昶㠶扣〵愷戲㐸㔸㤱㘰㤰㈳㤶㌸敡㙥㈴ㄱ昰挷ち攱㐳昳愸㝡㐰㔵敢㥥捥㔱晢摣㑡㐰挰㥢㉤搸㉦㐴㥢愰㔹㐲㑦摡搳㌵㈵㕣ㄳ〸晢扡㠶愷㘸愵挱搱㙢ㄹ㜵扢㈹㤳搶㤲〹㙢㕡ㄷ愸㐵㘲㌱㌹ㅡ㠹㐵㘲㔸㈰㡣㐶愳攰捡㈳㍤㡥㉡㐲〶捡收㥤搸摣㘱㌹〸捥㘳ㅢ㘲敡㌶㉦攴敢〷ㄹ慢昱㕦摡摢敤㉢㤹㈷㐰㝢愰㈵㤷愰㈳挹扤㠸搲戱搱㥢㔶㠳㡢昴挵搳昰㐴ㅤ㍡㐳扢挵搹㐷搷㍦㡡㄰扢㙡ㄹ晦敦㘴㔹摥搹㍡晤戹㈵挰散ㄹ搳户㕣挲晥㔹㕦戸㈳ㅤ㍤㕢摦㡤搵ㅥ愸ㄲㄱ攵㈷㐰户㜵㌵㠹㠹㤲戴㈲㌵㤵㘵挷ち㙡㙡㡤㌸搵㕡〰㘳㤰㕦㘹ㅡ慡昹ㄲ晣㝤〰ㄲ搲㤰㑥㕣挶㤴㐲摦㡢搵㍥愸ㄲ㠹㐴㠸㥦㙡㐲㍦㈰晡㤱ㄸ㈲㙢扦㑤慥挶〱っ㜰㠹昳搴戴愶捣ち攴㘵昱㔶㔶愶攵愹㔷㠷攸挴〶㜱㘶ㅥ㙣ㄳ㙣㝥挹戱〸搳㜰愰〸搹㕦っ㤲㌲慥ち捦收㄰㜶愲ㄱ㐵㐹㙡晤搶㥡㙤换㍡搲搲㘰㘷㜶㌹扢㐶晥㉦㡦㥦㌸㠳搹㘳㈲㈱㡥㜷㄰㥡晡㈱愸ㄴ搴攴㉤㝢挳㜶㘰摡攳ㄵ㙢㜴㜹〶㔴㐹㜸㤸昴昰㍣㜳㠲㍢搷づ㐳ㄸ㌵扤㝤㘲㝣㥡ㄱ〰㐰㔶〲ㅣ㄰㘷㐴㡥晤㝤㈹㠲㘹扦㌰挶づ㌷ㅣ戲㉦㍡㘴ㄹ挱晢慥戵㈴挸摡昲つㅥ㔰ㄱ昵て慦愵ㄷ攸ㅣつちづ慦扢㘶昳㐸ㅦ㜲㐸戹㔴㈳㍥㘰ㄷ〳〸晢户㐹戴㕥㈷㔶㥦㍤ㄶ㘹㠳㔵挸㙣攱㜶㐰㍦戸愹戰㐸〲昸㈴㑤㔲㘵〹捡收ㅣ㑦㐲㤷㠸㍣户敢敡昴户捦扥㜰〶㕤㔱〲〷〱ㄷ㔱搰ㄹ㌷〳㤰㤸㥦っ㜴㠵攵摤㤸㝥㕦㠰㈷㡢㔳㜷㐹捥㘴㘰搸㤴㜱摤㙢㌷㐳挳敢㐸㠴㐳㙦戹ㅤ㤴つ㔱㈶㡣㉦㤹昵昱戵㘳攳挲〶搱㤸㠵㈲㜷昵〴〲㜱㙥㐴愷㑤摥㤵昲ㅤ㈰摡㉤㙥〴㕦㤹昱㈵㑣慡つ〳㤲㔴攸㘱㤱㤴㙦㐱㔴摦晤㈱戴挶㝣㝣㈶〹慥挴愲㑦㤷㝤戱㜳㠵㘳慥㠳〲昵㜸ㅣ㡦㤱㠰㍦㔱㈶㈰ちぢ戳㠹㈸㠸摥㐳晤㜴ㄵ收愴慢敦戸㔹ぢ挲㐳敢攱㤶挲㠷㕢㠹ㄱ昱㍡搳㐴〷㔴㌸攰㕤愲㙣戱㑣改㈲扥ㄴ戶㠹ㅥ慦ㄱㄲ攰㑢㉡改㠵捦㐱㙣㠳敤㐷愳㕤慦愵㤶摥㤱㠸ㄹ戱挸㤶搵扢愱ㄵ㥤㘲ㄵ搱㤳慥挳昹昱㤵昵搵攵ㅦ㕦㝣晥慤摦捥扦攳摦㜸晤戹敢挷敥㤱扥㙥ㄱ慥㝥挳て晡ㅦ㝦㤱㝢改摤て摥扥愶晤攱㉡ㄸ㐰㌶ㄴ扣〷㘱攲㜶㝢ㄵ扢㑡㑥攰㤲愴ㅤ㥡〶戶㌵ㅢ搰〸ㄲ㉢㉢㙥㤷㙡㜰敡挲㠰㍤捤ㅣ换㜵㝣㠲愶〳㈹㉢扥㍡捦㤳㉡㈴㔱ぢㄴ㕦戸搴ㅦ戰㑢捣昴㌹挶ㅡ扦搲摣搱搵ㄳ摥愲搸㌹挷攷戰㡣挰㑢㙣㙦户ㄱ捥攱收ㅡ㥥㍦㙤搶昹敤攰㑥攲愳〷愸〷㑡〸㕥戲㈴换㤲㈶㙢㥢昴㠸㠸㝡ㅦ㠸扡愳挳〳㑦愵昳搹散〸攴㔹戲㐰㌶㜹ㄴ搷ち〱つ㤱㙥攳㐹ㄵ摡㜹㑡㝣㐷㘸㘵扢搱㝥㐱㝢㌵敢ㄳ㐹捣晤挰㈳㘱㑥㈱㥣攴㠱㔶〳㍢㠳ㄸ㥦㌱㕣慢㐷愱摡㤶捦ㄹㅤ㌹㥣㝡っ挶敥㠰戱搰愶摢慥㌱㠸攱ㅣ㜹挴搷〲㝤〸㕡㤲㔸〱㠷㠶愱㙡㤷㐱㕣〹晤㔶㝦㄰慡㠱愸㠴㔳搱ㄱ搵っ昶㈷㕤㌷摤㜶㈵慥㍥㠴㐳㕤㥦㌶㔴㔰㔷㈴㕢愲搴㑤㍦㤸扥〰挹㜷捤㙤愶换㡥ぢ〶㔹㑤㍢㝥扡㙡扡㉥㝣攱〲攲攸㐸㜶㙣攴攱搱㙣㘶挵攵㉢搲攷㉤㑦昹昲搰愳ㅦ晤昰晤㙢㔳敦摦ㄸ㥦攴敦昹㔷愴捦㕡㠴摥㑦て㠳敤㑤㉢戸捦㐷晡愱挴㥡晣㜶愸昷㌱㜱づㅥ〷㑤搴㑡ㄴㄲ㉢㐵搸㝥㑣㍥戵㌹㔹㙤愴挶换㔳㍥㠵㕤晦〷㌹㜸换摤㐰㝢ㄷ㡣攸攳㈸ㅡ慢㕥戰挵摣㜰ち捦搱㤳挳㈶㤳〸慤愵㌷摥㍢晢攷搸㔳㤳挹扦〱改愸㠷㈹</t>
  </si>
  <si>
    <t>㜸〱捤㔹㙤㙣ㅣ㐷ㄹ扥摤扢㍤摦㥥捦㡥㘹搲搲敦㕣㐳愴㔲搹㍤散㈴愶〹㙤搴搸㜷㜱攲搶戱摤㥣㥢搰㉡㜰摤扢㥢戵户搹て戳扢㤷昸㐰愸㔰㈸昴㐷㍦愰〵戵㐸ㄴ㔰愳㡡㙦㔴㐰慡慡〰㐲晣愰㐲〸〱〵〱〲挴て愰愰ち昸㔱㝥㐴晤㐳㈹捦㌳扢㜷㍥㥦捦㐹㥡〶愹攳散㝢㌳昳捥扣㌳昳㝥捦㈴愱㈴ㄲ㠹搷㔱昸换㤲㘲攵敡㜲㌳〸㠵㔳㈸㝡戶㉤㙡愱攵戹㐱㘱挲昷㡤收㡣ㄵ㠴㐹っ㐸㔷㉣攰〳慤ㄲ㔸ㅦㄴ㤹捡〹攱〷ㄸ愴㈵ㄲ㤹㡣慥〲摦晡㠶㕡ㄵ㥤戳昴ㄴ㐰づ愳ㄲぢ挵挹戹敡扤㈰㕤づ㍤㕦㡣攴㡦㐴〴昶㡥㡤ㄵ挶ち㍢㜷㡤敤㈹㡣㡥攴㡢つ㍢㙣昸㘲慦㉢ㅡ愱㙦搸㈳昹昹㐶搵戶㙡户㡢收㠲㜷㕣戸㝢㐵㜵㜴㘷搵搸戵㝢㙣搷昸戸戹㘷捦敥㕣ㅡ㤴攷㡢㤳〷㠵扤っ㝡ㄷ㡢㙡ㅦ愸捥ㄶ㈷攷㝤㘱㕥㉣㥡ㅡ戹㜱㘳㐹搴㉣戲㑤〸摦㜲ㄷぢ挵㐹晣敢攰ち㕡㌷ㄵ收捡攵㥡ㄱ㠶挲㈷搷㜴㘷慥㔶㍤㘲搸つ㤱㜶攴㜶㌲捥ㄱ挳㥦㌵ㅣ㌱攰摣ㄹ㠸挳㠶扢㈸搸搲㥣〳つ慢㥥㠲㈸㤳㌷昴㕡㈴㘶㔰㘱慥㌸㔹㕣㌲晣㌰㈲㠹〵㠶㝢㡤㤶㉢ㄵ攲㙤挸昱戲㠷㙣㔱晡㘳㐵攱㝡㜲㠷ㄹ㙥㔳〷㐸㘷〱㌶挵戳昲㜲㕡㝥㠷㤲㍡〳㔵敢㥣搴㡦㔱㙡挵㔰㉢㔵戵㔲㔳㉢㜵戵㈲搴㡡愹㔶ㄶ搵捡㤲㕡戱搴捡扤㙡攵㌸挶戴㑡愶慦㑦㡤换昳て摦㙦㡤㙦㐹捤㝣攲㙢㑦㕣㜹㝡敥戵捤ち戵㑢慡㔹づㄵ㝤〰㈰㍤〸搰戵㠹㌱㐵昹㌷㌶挱㡤㍣昸敤㈹昱攸㘳摦㉢㝤㌵㍢昲挰㑦㥥晤攳㡢戹㈱っ㥦〵㔷ち戳㈲扣㐸敡愳㤱㈳攷㉦〵㙥㕤㜳㈲㈱㤶㐴㔰搳㈹攱㘹户㉥㔶搲愸㐱昲㌹愷攸戹愱㔸〹㑢㐶㘸昴㌹昳㠶㉦摣㔰挷愰㘱㌹㉢慡㜱收㠰散㙢捤捥挶㉤㔰ㄸ㤲搵づ㉡晤戲㈳愲愴挰晣㤳愹〸㘶搲扤晣挰㐱㈳㔸ち㡤慡㉤戶㜷㈹ぢ昹〶晤扣㌳戴散愰〰㤲〷㝣慦戱㑣㡥㕥㉣㍡㌴㙦㥤㙡㤵扥〴㐰㝡㉤晥愲散搳㌷〳㘶㈵㔲㈷ㄲ挲㝤㥤〸㤴ㄸ㤷㝢㍢敡㜷挴敡㕡昲㡤㤳㌰戹㔵ㄱ敦㈸㡣昲敦摣㍥〷㉥挷ㅣ㌷㙦㌲挷挶敡攳愳挶㑥㐳愳慥扦ㄱ戳搹㡡昱㌹攷愸攵搶扤㤳搲㡥〶㥣戲㈵㠵㕣愲㜳捤㌹ぢ㠶扦㈸㘰㤲晥㜴㈹敢㐸扢㔹㘸㉥㡢㝥㠷㝢㥥昷㉣㌷っ㜲㡥晣㉤㌷㥤慡㘷昷㐷つ㜸㙡捦捦挶〸昸㘴㕤㡥㥦戱㕣搴〸换攸换捡㥡ㅣㄹ㜵㤲㌰㤶㕦昲㑥㑥㔹㌶㝣㡣愸㕦㈵愷ㄵ㍤摦ㄷ戶㐱扦㕦昴㠴㘹㕡㌵ぢ㑡㌶攸㑣昹㥥㔳ㄶ㙥㈰㜷㜵㤹ㅣ㝡㔸㉣晡㈲愰ㄷ㉢㠹搰㠰攴慦㥥㌴〲戱敡㈵㠶捤攸愸㤳㕥挳慤〷㔷昵㐶㤶㐳㈳ㄴ㔷㜶攳㔶㠹慣㥢㔶㠶挷ㄴ㠱㘴摦戵摤搳愴㤵㑣慣㔸ㄱ晡㥡㉥㌴晣愶㔷摤ㄸ㍢攵㡢て戴戱敢㜶㌴㠱㔰㜸㐲㄰扦敥㤴ㄱ㉡摡ㄷ扣㥤ㄷ〸㔷㙥㙦搸㤹户㙡挷㠵㕦ㄶっ愴愲㉥㡦㝡㈹㔱㘰户㕢ㄳ挱昰㥣㡢㠳挲㜱搷户㜵昶㥡晢㔷㐲〱戳慦㘳扦〸㘶㘱㜳㠱㈶㜷搹㥡㈱搱㥡㐰㕣戱愶㝢捡慢㌵〲㥡户敦搹㙢㌱ㄳ昵ㄳ〶搶慣ㅦ昲敡㈲㤵㔴㔳〹改㌲㔳昴㥢㠹㔴㈲挵㤲㐰捣㐸挲晣㐷扡㡣㕢〶㈷㉥ㄳ戴㈲㐱㠷ち㌳ㄴ昴㜲ㄵ敤㤴攱晡㡤愹㐹㈹㔳ㄱ昹挹㤸戲㘵慤㤱㌲〹昱㝣㕡㙦㥦搲户㈱慥愷㠷㕤戳㕦㕡㐱㝢つ㐵㔱㉥敦㕡收㌰攴〳㌹搸㠲㑢愹摤捥慤攳晣慢㝡挹敤㥥㘵攱づ愹搰戴㌹晡㥤攷㘰㐴㕢昷晥扦㠳㔵㜵㜳㝣晡晤㈷㘰搹〷つ户㙥ぢ晦慣㈲㔴戸㈳晤㜲㠲㉢〰戲摡摦攱㘲捦㔷慥捣㈹晢㑥㌰㝣㔵㉡㠹っ㈹㔱攷㤴昴㔵㠰改㐳㠶て搵搶㕥〲扤㥥攲攵搰㤴换戴㐶㔲挸ㅥ㜷扤㤳昰㑢㔰ち㉤愰攳㈰㜱扤慦㡦㘲㘳㜰㠸㡢㡡ㅣ㔴挱扦扦㠲㉣㐹㘷㡦ㅤ㍢ㄶ㠷〴㌵愱晤〵㍤㘷㤱㕣㥣戶戴㔴㘶晤昶戹〸㠳愴昶㘷㄰摡㔰㤳攴㈱㔷㤴愶㜶搲慡㠷㑢改㈵㘱㉤㉥㠵㥣㥡㐱攱㝥挹㐹㝥㕦㐰㥡㥣㘱慡慣攷〹慥㈳搸〶㤰捤㈶㘴㌸㑢㘷昵敤㔱㔳㘱㠲㈰㤳㉣愶㌶敢㘳摤昵ㅣ愶㥦〵愷㌰㉦㘲搰搲㠷〹㐶㌸㕥昹㌵㑥㐱㜹㐶㔲㈹愰㉦㤶㡡昲㈲㝡㈵晢搰ㄷ㤷ㄶ㘷㝦搹㐲㜵㜲㔶昹〵㝡挹㕤づ㈶㠷㤴㥦愳㐱㉥慤㍦敢㑥っ搱㜷ㄱ㡣〳㜴㥣昵愶愸㤹㘲㔰敦愵㤴敤ㄴ㠴㥡㤴㥤昱㡣晡㤴㔱挳㐵愲㉦扥㐶㘴㡡㥥戳㡣挴挸ㅦ攲挸㈲扣ㅤ扣攸〹慢㉥晣っ㍢ㄸぢ㔳戸㐵〴㘹ㄹ㉢〲㘴㍣挹㠴愶昵㘷㝡慤㌵摤愲戵㍤戶ㄸ㘸㕥晢㑥㌴扤㡥晥扦敥搸㝤㉢〵㤹捤捡㑣㜴㌷慡晡ㅥ〰㡤㤶昳㠶㥣敡㈶㑥㜵收㙤㉦攴㝥〷㥤愲㡦㉢㤷㙦ㄹ㌳㤶㘳㠵㤷戶㥢戳つ愷㉡晣〵㈰散㘰㜳扢㜷㕥昸㌵ㄸ戶戱㈸慥㤴敥慡挳㔹て㥢㐷㉣㜱㤲㥥㜰敢㝡ㄴ㙥ㄱ挵㐶㄰㝡㌲㤷扣㜶㍤扥攴捤㝡㘱挹ち㤶㙤愳戹扤〷㍡挲ㅣ㕤ㄲ㉥〲㥤㡦㜸㜷慥㐱摥昲戲愸昷搸㘳搹㙢攰〴搳愵户㐲愸㤴捥ち搲㐸㈸㌲㌴㘶ちㅢ㍢昱搶㉤愹㔳㔶㔴搲㑣㐶㐵挸㔱㉥捣敢搲晤㘸㉦挰㠴摥攰挲㥣户搶敢愲㈳昱㌲ㄴ㤳㝥㤲㤹戹㤲㘵㐹㈸戴㑤㡥搶㙦〶愰晡昲搳昲〰攷ㄵ〷㐹㙡㤳搹搶㥤〵㉢戴㐵扦㈹搵㐳搶㌳㈶戴〱㔹㔰扤捦㕣㔸昲㠵㈸つ㤸〷㝣慢㙥挷ㄱ㜹㑢㌴㜴㐶㉣㈲攳㤹昷〲㡢㠹攷㠰戹攰ㅢ㙥㐰㌳㜶㙢捤㑢搶戴愴搹㙡收愴攵〶㔸㐶敡㉢敢㥢㑣愶戲戰捦㠶攳ㅥ㌰㤶㠳户㠴敥㤰慤㔱㤱捡愳愸㡡慡㉡ㄹ㌵㜳㠱扡㈰㐵愷㈶㜶㠰愴㑡〰㐷〳〱㙡搷愱㜶㤶㜸搶㤵㠹㜰㑦戸㐴慣㈶愱挹㕥㥥慦㥤扤㔱㠱昵㕢㌸㘷㉦挰㙤〷敥㥣㕥扤㌸扤愹〷ㅢ㡤㌱敥扣㔳愲㑢㌱㜸㌰㔲ㄵ愶㐹昴㘰扡㤴㌸㕢摤敡㤷㌵攵ㄸ㙡攲攰㙡㜵ち㔹㜱捥㥣㌱慡挲㥥昲㝣挷〸〷愳〶つ摡㠱〳㡤㜱㜰昹㡥㐱搵攲攳〸㑣摡ㄶㄹ㜳愲ㄱ㝡㠷㉣㔷㌷〱愴晥挵㕤挶ち扡㡣ㄵ搹㤵㌳て昳㥡ㄳ㐵ㄵ搰昲ㄶつ㌸㠲㈵挷慡㘵搸攰㔵攴㉤愱㤳㌰㜶㐶晡㔶㤱㡡〹晦㤴敦昲㙢搱㑤ㅥ攲㉥㈰㝣㤰㜵ㄴ㍦㌴㔷㔵搲昸㔳㉥㌰㠷㐴㔶㈰搳ㄶ晤㔶㔰搳攸㘸攰ㄸ愳慤扣搲㝡㠵㝣攵㍥昴㐴慥㠹㜹て搱晡扥戸挲㠶挲㌴㠷搹㐱㔷戸㥤㐰㤷㍥挹〱㑣㙥ㄸ㜲攵攸ㅦ挰㜷搲㝦愲摤搳晤㌱〹㤲㙢㤴㔰攱㡥攴慥㤸㥥攴昱昵㌶㌹㠵㠹换㜵昸昴晤〰ち㌳㤸㙤昸摡愷㍢㠰晡戹㑦挷㑣㐷慥㝣㌰慥戰㌱挴慣㠱㕢㐸㑦〳っㄶ㈷㉢ㅤ愶㥡扥つ㝤㙦㐳㕦昴㔲㌸㕤㐷㤸户挲收㄰㤳っ捥㤱㡦㙦晡っ㙡㐳㜴收㤴戳㝥㠸㘰ㄶ㘰㐰㔵㘸挷㜲挵㌹㔴㕡㐵愳㉣捥㈹㝥搲捡㥡㔴㠴㜲搸戴㘱㝣慣昲愹㉡慡挹㈷〶搹㈷㤳㜳扣㍥愶扡㌳攳昶㕣㈶扦晤㍤戳㝤㘲愸㘷摡戳㄰搸㠶昳㜹㠲搵搰挶㌹㉣改㍢〰戶ㅣ戲㙡扥ㄷ㜸㘶㤸㉦㈳㠰攴㜹㈷㌷ㄳ㠹搱〹攵㕢愰戸㈶㤷㝤〷㌸㌱戴て㜳㈴㤷捡愸っ㈴㠷㈶昰㈳ㄹ㐹收敢攴昶搰㘴慢㑢收捥㐷搹㐵㑤㤱戳摥㡢㡡㝥ㄷ〰㜸㉢㌵㠱敤扢〱㕡㐵愱㈶㤰扦捡㌳㔸㥦愷㈲㈶㝤っ㘰攳慤㥥敡戹㔵㉡㠹㕣昴晤愸っ㈴㜳ㄵ晣攰搵慤攴㌹㠶攵㕥㉣㥦㑣搵改昹愰ㄵ㉤搳㝥愳㙥㘹ㅥ㥦㝤㜳㝣㤸㕥㐰㘴愷㌶㘴㘴〳摥㜹挰㌹敡昹挷慢㥥㜷㥣摤㠳戲ㄵ㉣〹ㄱ昲戵戸摦㠹ㄴ㤸㜵㌸㠰㘴㜲捤慢㜰㥣㙢ㄳ挹㐳愶敦〱ㄸ㤸戰敤㝣㡢㘲㤰㌶搸戵昶〵扢㡡慥戱〵捦戳昳㌷收て㐱㌷㤷散㘶扥㙡搹挸㌳ㄶ昳㤶㥢㕦㌴㙣ㅢ晦㤳〱攴㡥搱戱㥤愳敦摥㌱㔶㔸戱㠳ㄵ攵㈹㌰㥢捦挱扦扡收㤶ㅦ晦敤愵㑦㑦㝤晦搵㕤ㄳ挱㘹昷㘹攵昳㌱㘲摤㑢㌳つ㡡㝣㡡㉥㘷搰慥㐴㜲㈲㜰㘴㑢㜹㌲㥥戴敦㐸昵戹挷扦戹㔰晣戲㈸晥散㠵慦㡢㌹攵㠹ㄸ昱㜴昳愷捦晣㈷晦摤摢ㅦ㌹晤挲晣晥挴㡤㕦㔱㘸㤹慢搴敥㈵戵㈹扦ㄶ㔱晢捣㐶搴ㅥ㡦ㄱ㘷戶晥昳㔳愷㝥㜷搷搴㤳㐷敦㝡㜴摦㉢捦ㅦㅢ㙡搹戵㐶㝤扥戹换愵㜷㍣㘳㜴昸㤴攱敥挷愶晤㜸㍣㙡搲〸㤲戸㈶㘹㌲㥥愵搴昷㕣ㄸ慤搶㥢ぢ戳〸敤㌱散晡㑤搰㔹㙢昶愴戸ㄵ㥦敥〱㈸㌴㑢挹挵㝢搸㐵敤搰愹て捡挳㌱愳搶㐹昷愱ㄸ搱晤扦〰ち㑤扡㉤て㥤搲㡤㘴昱㘰㍣攱て㑦扥晣挰㠷扦㜸㘶收㔹昷搵捦㝥攸㑦㌷㙣㔳㍥ㄹ㈳㥥晡㐶攱搴㡢扦晦㐷昱晥攷㝥㘳搴ㅦ搹㍡愲搰㉦昴愲昴昱㡤㈸㝤㉣㐶搸㍦晣敦㐷扦㜳昷㐳挵〷摦㌵晥㤱挳㍦晡搲㙦㠷㕡ㅥ㐵愱改㔳戲捡晤ㄸ㑡㜶㑡づ摣㠷ㅥ㡤㙣攸昶愹㜴捡㔳㤴㘴搷ㅢ㐴㝦㍦㥤收挲攷㑥敦㝢㙤攷晢㈶ㄴ捥攷昴㔶㐷晦晦〰扡㑡㡡㈸</t>
  </si>
  <si>
    <t>Estimated total annual residential revenues from PROPOSED rates</t>
  </si>
  <si>
    <t xml:space="preserve">Based on the projected new demand distribution under the PROPOSED rates, the average residential water use is approximately: </t>
  </si>
  <si>
    <t>Number of residential bills in one year before conservation</t>
  </si>
  <si>
    <t>Year</t>
  </si>
  <si>
    <t>Current year:</t>
  </si>
  <si>
    <t>http://gis.ncdc.noaa.gov/map/viewer/#app=cdo&amp;cfg=cdo&amp;theme=annual&amp;layers=1&amp;node=gis</t>
  </si>
  <si>
    <t>Ln(average use)</t>
  </si>
  <si>
    <t>Coefficients for the following subgroups</t>
  </si>
  <si>
    <t>Replacing nulls with average value</t>
  </si>
  <si>
    <t>Max correlation</t>
  </si>
  <si>
    <t>ABS(Correlations) with the following subgroups</t>
  </si>
  <si>
    <t>Which relationship to compute for that subgroup?</t>
  </si>
  <si>
    <t>Coefficient</t>
  </si>
  <si>
    <t>x100, rounded. Read as %.</t>
  </si>
  <si>
    <t>Text summary</t>
  </si>
  <si>
    <t xml:space="preserve">For every additional 1 inch of precipitation throughout the year, </t>
  </si>
  <si>
    <t xml:space="preserve">For every additional 1 inch/month of precipitation in the warm months of April through September, </t>
  </si>
  <si>
    <t>Graphs - x-axis values</t>
  </si>
  <si>
    <t>Title</t>
  </si>
  <si>
    <t>Actual (default is average)</t>
  </si>
  <si>
    <t>Min</t>
  </si>
  <si>
    <t>Maximum</t>
  </si>
  <si>
    <t>Minimum</t>
  </si>
  <si>
    <t>inches/year</t>
  </si>
  <si>
    <t>inches/month</t>
  </si>
  <si>
    <t>Thus</t>
  </si>
  <si>
    <t>block end</t>
  </si>
  <si>
    <t>actual block end</t>
  </si>
  <si>
    <t>Which indicator?</t>
  </si>
  <si>
    <t>Ratio</t>
  </si>
  <si>
    <t>Override value</t>
  </si>
  <si>
    <t>Alternatives</t>
  </si>
  <si>
    <t>Starting value</t>
  </si>
  <si>
    <t>Max</t>
  </si>
  <si>
    <t>delta to min</t>
  </si>
  <si>
    <t>delta to max</t>
  </si>
  <si>
    <t>% change to min</t>
  </si>
  <si>
    <t>% change to max</t>
  </si>
  <si>
    <t>a) Calculating to the MIN temp or MIN prec</t>
  </si>
  <si>
    <t>Number of bills (from proposed rate structure)</t>
  </si>
  <si>
    <t>New avg?</t>
  </si>
  <si>
    <t>Avg above 25k</t>
  </si>
  <si>
    <t>New avg above 25k</t>
  </si>
  <si>
    <t>avg bove 25k</t>
  </si>
  <si>
    <t>Estimated revenues from PROPOSED rates, after elasticity effects and weather fluctuation to the MIN indicator value</t>
  </si>
  <si>
    <t>b) Calculating to the MAX temp or MAX prec</t>
  </si>
  <si>
    <t>Percentage of bills - new</t>
  </si>
  <si>
    <t>Percentage of bills</t>
  </si>
  <si>
    <t>Total annual revenues from volumetric charges</t>
  </si>
  <si>
    <t>Above block 9</t>
  </si>
  <si>
    <t>Prepared by:</t>
  </si>
  <si>
    <t>Date:</t>
  </si>
  <si>
    <t>Any Town, Any State, U.S.A</t>
  </si>
  <si>
    <t>Contact information:</t>
  </si>
  <si>
    <t>Meter Size</t>
  </si>
  <si>
    <t>5/8" (primary)</t>
  </si>
  <si>
    <t>b) Input volumetric rates for the residential rate structure.</t>
  </si>
  <si>
    <t>a) Input monthly base charge and consumption allowances included with the base charge.</t>
  </si>
  <si>
    <t>Block # (if applicable)</t>
  </si>
  <si>
    <t>Block's volume range</t>
  </si>
  <si>
    <t>Volumetric rates</t>
  </si>
  <si>
    <t>Monthly Consumption (gallons)</t>
  </si>
  <si>
    <t>Consumption Allowance</t>
  </si>
  <si>
    <t>Step 1: Type in Basic Information</t>
  </si>
  <si>
    <t>Step 2: Input "REFERENCE" Residential Rate Structure Basics</t>
  </si>
  <si>
    <t>Verify the monthly bills for residential customers using the REFERENCE rate structure. You may choose to override these computations and input the monthly bills directly.</t>
  </si>
  <si>
    <t>Monthly Consumption 
(gallons)</t>
  </si>
  <si>
    <t>Computed Monthly Bill from Rate Structure Details</t>
  </si>
  <si>
    <t>Use a COMPARATIVE rate structure to compare to the reference rate structure</t>
  </si>
  <si>
    <t>Only assess the REFERENCE rate structure</t>
  </si>
  <si>
    <t>Step 5: Input "COMPARATIVE" Residential Rate Structure Basics</t>
  </si>
  <si>
    <t>Verify the monthly bills for residential customers using the COMPARATIVE rate structure. You may choose to override these computations and input the monthly bills directly.</t>
  </si>
  <si>
    <r>
      <rPr>
        <strike/>
        <sz val="10"/>
        <color theme="2" tint="-0.249977111117893"/>
        <rFont val="Arial"/>
        <family val="2"/>
      </rPr>
      <t>People</t>
    </r>
    <r>
      <rPr>
        <b/>
        <strike/>
        <sz val="10"/>
        <color theme="2" tint="-0.249977111117893"/>
        <rFont val="Arial"/>
        <family val="2"/>
      </rPr>
      <t xml:space="preserve"> dropping out of this group to PREVIOUS group:</t>
    </r>
  </si>
  <si>
    <t>Gallons/month:</t>
  </si>
  <si>
    <t>Percent of all residential bills:</t>
  </si>
  <si>
    <t>% Base Charge</t>
  </si>
  <si>
    <t>Expected annual revenues from REFERENCE rates</t>
  </si>
  <si>
    <t>Expected revenues from base charges</t>
  </si>
  <si>
    <t>Expected revenues from volumetric charges</t>
  </si>
  <si>
    <t>Monthly bill (COMPARATIVE rates)</t>
  </si>
  <si>
    <t xml:space="preserve">Price elasticity is often determined during rate studies. Use the default elasticity values shown below if the utility's price elasticity is not known. </t>
  </si>
  <si>
    <t>Monthly bill</t>
  </si>
  <si>
    <t>Projected total annual residential revenues from COMPARATIVE rates, with no change in demand besides due to price elasticity effects:</t>
  </si>
  <si>
    <t>These graphs compare the rates and revenues generated from the COMPARATIVE rate structure to the REFERENCE rate structure.</t>
  </si>
  <si>
    <t>REFERENCE Rates</t>
  </si>
  <si>
    <t>COMPARATIVE Rates</t>
  </si>
  <si>
    <t>Total Annual Revenues</t>
  </si>
  <si>
    <t>% from Base Charges</t>
  </si>
  <si>
    <t>From Base Charges</t>
  </si>
  <si>
    <t>From Volumetric Charges</t>
  </si>
  <si>
    <t>Label</t>
  </si>
  <si>
    <r>
      <rPr>
        <u/>
        <sz val="10"/>
        <color theme="3"/>
        <rFont val="Arial"/>
        <family val="2"/>
      </rPr>
      <t>If no conservation happens</t>
    </r>
    <r>
      <rPr>
        <sz val="10"/>
        <color theme="3"/>
        <rFont val="Arial"/>
        <family val="2"/>
      </rPr>
      <t>, then distribution of demand after price elasticity is as follows:</t>
    </r>
  </si>
  <si>
    <t>COMPARATIVE RATES</t>
  </si>
  <si>
    <t>REFERENCE RATES</t>
  </si>
  <si>
    <t>Projected total annual revenues</t>
  </si>
  <si>
    <t>Projected total annual fixed revenues</t>
  </si>
  <si>
    <t>Projected total annual variable revenues</t>
  </si>
  <si>
    <t>No reduction</t>
  </si>
  <si>
    <t>Under REFERENCE rates and with no conservation program</t>
  </si>
  <si>
    <t>Range box</t>
  </si>
  <si>
    <t>How Much Revenue Might Be Lost When Residential Customers Reduce Consumption?</t>
  </si>
  <si>
    <t>Residential customers' demand declines due to:</t>
  </si>
  <si>
    <t>This tool allows utilities and technical assistance providers to quickly determine the proportion of residential revenues from water sales that may be at risk of loss when residential customers change demand patterns. When residential customers reduce demand, whether due to price elasticity effects, or normal weather fluctuations that affect their water demands, or in reaction to shocks (such as new water conservation programs, water shortage periods, change in economic conditions, etc.), utilities collect less revenue from customer sales than anticipated. Utilities often ask how much of their revenues are really and realistically at risk of loss if their customers lower their consumption. This tool allows utilities and their technical assistance providers to quickly determine these estimates based on the utility's own rate structure, customer demand profile and weather conditions.
The tool requires only minimal data input and uses simplifying assumptions as well as detailed models developed after analyzing hundreds of thousands of real customer water records to understand how water customers change demand patterns. 
This simplified tool is focused solely on revenue projections and assessment. Costs and revenue requirements based on customer classifications are not incorporated into this model. The tool allows the user to compare two different residential rate structures and determine which rate structure offers greater revenue resiliency.</t>
  </si>
  <si>
    <t>All else are built-in calculations or instructions.</t>
  </si>
  <si>
    <t>Revenues under COMPARATIVE rates and with largest decline in revenues projected due to normal weather fluctuations</t>
  </si>
  <si>
    <t>Difference</t>
  </si>
  <si>
    <t>Decline in Total Annual Revenues for a:</t>
  </si>
  <si>
    <t xml:space="preserve">Projected annual revenues with </t>
  </si>
  <si>
    <t>No reduction in avg use</t>
  </si>
  <si>
    <t>Estimated revenues from COMPARATIVE rates, after elasticity effects and weather fluctuation to the MIN indicator value</t>
  </si>
  <si>
    <t>Estimated total annual residential revenues from COMPARATIVE rates</t>
  </si>
  <si>
    <t xml:space="preserve">Based on the projected new demand distribution under the COMPARATIVE rates, the average residential water use is approximately: </t>
  </si>
  <si>
    <t>Total monthly bill computed from COMPARATIVE rate structure (residential, 5/8" meter)</t>
  </si>
  <si>
    <t>Revenues from base charge</t>
  </si>
  <si>
    <t>Total annual revenues from base charge</t>
  </si>
  <si>
    <t>Revenues from volumetric charges</t>
  </si>
  <si>
    <t>Projected average water use (modeled)</t>
  </si>
  <si>
    <t>Under REFERENCE RATES and no change in revenue due to weather fluctuation</t>
  </si>
  <si>
    <t>Change in total annual revenues from revenues under REFERENCE rates and no weather effects</t>
  </si>
  <si>
    <t>Range of revenues expected under COMPARATIVE rates and with fluctuating weather patterns</t>
  </si>
  <si>
    <t>Total annual revenues under REFERENCE rates and no change in customer demands</t>
  </si>
  <si>
    <t>COMPARATIVE rates, no weather fluctuation</t>
  </si>
  <si>
    <t>No weather fluctuation</t>
  </si>
  <si>
    <t>Projected annual revenues</t>
  </si>
  <si>
    <t>Minimum projected revenues</t>
  </si>
  <si>
    <t>Maximum projected revenues</t>
  </si>
  <si>
    <t>+/- from no weather changes</t>
  </si>
  <si>
    <t>Without any significant declines in water use</t>
  </si>
  <si>
    <t>Copyright © 2013 Water Research Foundation. ALL RIGHTS RESERVED.</t>
  </si>
  <si>
    <t>Download the latest version of this tool at http://www.waterrf.org</t>
  </si>
  <si>
    <t>price elasticity effect when rates are changed</t>
  </si>
  <si>
    <t>normal year-to-year fluctuations in weather (temperature and precipitation)</t>
  </si>
  <si>
    <t>sudden and significant one-time reductions due to shocks to water consumption conditions (drought, conservation program, economic downturn, etc.)</t>
  </si>
  <si>
    <t>●</t>
  </si>
  <si>
    <t>Water demand scenarios included in this model</t>
  </si>
  <si>
    <t>Input Reference Rates</t>
  </si>
  <si>
    <t>Input Comparative Rates</t>
  </si>
  <si>
    <t>a) Input the total number of residential bills in 12 months (all volumes):</t>
  </si>
  <si>
    <t>b) Input the number of residential bills that were created during the 12 months for each 1,000 gallon block of consumption below:</t>
  </si>
  <si>
    <t>Total annual revenues from base charges:</t>
  </si>
  <si>
    <t>Total annual revenues from volumetric charges:</t>
  </si>
  <si>
    <t xml:space="preserve">Projected total annual revenues from base charges: </t>
  </si>
  <si>
    <t xml:space="preserve">Projected total annual revenues from volumetric charges: </t>
  </si>
  <si>
    <t>The average residential water use is projected to be:</t>
  </si>
  <si>
    <t>How do the total revenues compare under both rate structures?</t>
  </si>
  <si>
    <r>
      <rPr>
        <strike/>
        <sz val="11"/>
        <color theme="2" tint="-0.249977111117893"/>
        <rFont val="Arial"/>
        <family val="2"/>
      </rPr>
      <t>People</t>
    </r>
    <r>
      <rPr>
        <b/>
        <strike/>
        <sz val="11"/>
        <color theme="2" tint="-0.249977111117893"/>
        <rFont val="Arial"/>
        <family val="2"/>
      </rPr>
      <t xml:space="preserve"> dropping out of this group to PREVIOUS group:</t>
    </r>
  </si>
  <si>
    <t>These graphs compare the revenues generated (or lost) when residential customers adjust their demands based on normal, yearly fluctuations of temperature or precipitation. Graphs assess the revenue resiliency of the COMPARATIVE rate structure. Price elasticity effects are also factored in.</t>
  </si>
  <si>
    <r>
      <rPr>
        <b/>
        <sz val="14"/>
        <color theme="0"/>
        <rFont val="Arial"/>
        <family val="2"/>
      </rPr>
      <t xml:space="preserve">Developed by: </t>
    </r>
    <r>
      <rPr>
        <sz val="14"/>
        <color theme="0"/>
        <rFont val="Arial"/>
        <family val="2"/>
      </rPr>
      <t>The Environmental Finance Center at the University of North Carolina, Chapel Hill</t>
    </r>
  </si>
  <si>
    <r>
      <rPr>
        <b/>
        <sz val="14"/>
        <color theme="0"/>
        <rFont val="Arial"/>
        <family val="2"/>
      </rPr>
      <t>Developed for:</t>
    </r>
    <r>
      <rPr>
        <sz val="14"/>
        <color theme="0"/>
        <rFont val="Arial"/>
        <family val="2"/>
      </rPr>
      <t xml:space="preserve"> Water Research Foundation</t>
    </r>
  </si>
  <si>
    <t xml:space="preserve">Water Utility Revenue Risk Assessment Tool  </t>
  </si>
  <si>
    <t xml:space="preserve">Water Utility Revenue Risk Assessment Tool   </t>
  </si>
  <si>
    <t>Expected Annual Revenues from COMPARATIVE Residential Rate Structure with No Change to Demands Beyond Price Elasticity</t>
  </si>
  <si>
    <t>Expected Annual Revenues from REFERENCE Residential Rate Structure with a No-Change Scenario</t>
  </si>
  <si>
    <t>Version 1.0</t>
  </si>
  <si>
    <r>
      <rPr>
        <b/>
        <sz val="14"/>
        <color theme="0"/>
        <rFont val="Arial"/>
        <family val="2"/>
      </rPr>
      <t xml:space="preserve">Version date: </t>
    </r>
    <r>
      <rPr>
        <sz val="14"/>
        <color theme="0"/>
        <rFont val="Arial"/>
        <family val="2"/>
      </rPr>
      <t>November 15, 2013</t>
    </r>
  </si>
  <si>
    <t>The REFERENCE residential rate structure may be a current rate structure, a historic rate structure, or another rate structure. The tool assumes that this is the baseline rate structure to which all scenarios will be compared. Choose a reference rate structure for which you have complete data on residential customers' water use.</t>
  </si>
  <si>
    <t>Jane Smith and John Doe</t>
  </si>
  <si>
    <t>Units for Rates:</t>
  </si>
  <si>
    <t>a) Input the monthly base charge and consumption allowances included with the base charge.</t>
  </si>
  <si>
    <t>Step 3: Verify the Monthly Residential Bills for Different Consumption Amounts</t>
  </si>
  <si>
    <t>201-555-1111; jane.smith@utilitywebsite.org; john.doe@utilitywebsite.org</t>
  </si>
  <si>
    <t>General Notes:</t>
  </si>
  <si>
    <t>Assess COMPARATIVE Rates?</t>
  </si>
  <si>
    <t>Do you want to assess and compare the revenue risk of a new, COMPARATIVE residential rate structure to those of the REFERENCE rate structure, or only assess the revenue risk of the REFERENCE rate structure?</t>
  </si>
  <si>
    <t>The COMPARATIVE residential rate structure may be a proposed new rate structure, a hypothetical rate structure for scenario testing, or any other residential rate structure that is different from the REFERENCE rate structure. The tool will compare the revenue risk of this rate structure to those of the REFERENCE rate structure.</t>
  </si>
  <si>
    <t>Step 6: Verify the Monthly Residential Bills for Different Consumption Amounts</t>
  </si>
  <si>
    <t>Actual Monthly Bill under REFERENCE rate structure</t>
  </si>
  <si>
    <t>Estimating Revenues from Reference Rates</t>
  </si>
  <si>
    <t>Estimating Revenues from Comparative Rates</t>
  </si>
  <si>
    <t>Comparing Revenues from Reference and Comparative Rates</t>
  </si>
  <si>
    <t>Click to open in a browser.</t>
  </si>
  <si>
    <t>○</t>
  </si>
  <si>
    <t>Data Entry Instructions:</t>
  </si>
  <si>
    <r>
      <t xml:space="preserve">Enter </t>
    </r>
    <r>
      <rPr>
        <i/>
        <sz val="14"/>
        <rFont val="Arial"/>
        <family val="2"/>
      </rPr>
      <t>optional</t>
    </r>
    <r>
      <rPr>
        <sz val="14"/>
        <rFont val="Arial"/>
        <family val="2"/>
      </rPr>
      <t xml:space="preserve"> data in light yellow fields</t>
    </r>
  </si>
  <si>
    <r>
      <t xml:space="preserve">Enter data in dark yellow fields </t>
    </r>
    <r>
      <rPr>
        <i/>
        <sz val="14"/>
        <rFont val="Arial"/>
        <family val="2"/>
      </rPr>
      <t>(required)</t>
    </r>
  </si>
  <si>
    <r>
      <t>Required</t>
    </r>
    <r>
      <rPr>
        <i/>
        <sz val="12"/>
        <rFont val="Arial"/>
        <family val="2"/>
      </rPr>
      <t xml:space="preserve"> to run the tool.</t>
    </r>
  </si>
  <si>
    <r>
      <t xml:space="preserve">Optional </t>
    </r>
    <r>
      <rPr>
        <i/>
        <sz val="12"/>
        <rFont val="Arial"/>
        <family val="2"/>
      </rPr>
      <t>to improve the accuracy of the tool's predictions.</t>
    </r>
  </si>
  <si>
    <t>View Video Tutorials:</t>
  </si>
  <si>
    <t>Data Requirements and Instructions:</t>
  </si>
  <si>
    <r>
      <t xml:space="preserve">Identify a "reference year" in which details are known about the utility's residential rate structure </t>
    </r>
    <r>
      <rPr>
        <i/>
        <sz val="11"/>
        <rFont val="Arial"/>
        <family val="2"/>
      </rPr>
      <t>and</t>
    </r>
    <r>
      <rPr>
        <sz val="11"/>
        <rFont val="Arial"/>
        <family val="2"/>
      </rPr>
      <t xml:space="preserve"> complete data on the residential customers’ water use can be extracted from the utility's billing records.</t>
    </r>
  </si>
  <si>
    <r>
      <t xml:space="preserve">The residential rate structure details during the reference year, or at least what the monthly residential bill was from 0 to 25,000 gallons/month at 1,000 gallon intervals during that year. </t>
    </r>
    <r>
      <rPr>
        <i/>
        <sz val="11"/>
        <rFont val="Arial"/>
        <family val="2"/>
      </rPr>
      <t>These rates are defined in this tool as "REFERENCE rates."</t>
    </r>
  </si>
  <si>
    <r>
      <t xml:space="preserve">If comparing the revenue risk of an alternative rate structure to the revenue risk of REFERENCE rates: 
The residential rate structure details, or the monthly residential bills, for an alternative rate structure. </t>
    </r>
    <r>
      <rPr>
        <i/>
        <sz val="11"/>
        <rFont val="Arial"/>
        <family val="2"/>
      </rPr>
      <t>These rates are defined in this tool as "COMPARATIVE Rates."</t>
    </r>
    <r>
      <rPr>
        <sz val="11"/>
        <rFont val="Arial"/>
        <family val="2"/>
      </rPr>
      <t xml:space="preserve"> The COMPARATIVE rates can be, for example, a proposed new rate structure or adjustments to the REFERENCE rates. These do not necessarily have to achieve revenue neutrality.</t>
    </r>
  </si>
  <si>
    <t>From the utility's billing records of all residential customers during the reference year:
To prepare, filter the billing records to include only the 12 months of the reference year, and only the residential bills (including all standard meter and irrigation meter records). From this list of residential billing records during the reference year, find the following:</t>
  </si>
  <si>
    <r>
      <t xml:space="preserve">The total number of residential bills during the reference year. If the utility bills residential customers less frequently than monthly, multiply the total number of bills by (12 / number of billing periods during one year) to compute the equivalent total number of monthly bills. </t>
    </r>
    <r>
      <rPr>
        <i/>
        <sz val="11"/>
        <rFont val="Arial"/>
        <family val="2"/>
      </rPr>
      <t>This should be close to the number of residential customers times 12.</t>
    </r>
    <r>
      <rPr>
        <sz val="11"/>
        <rFont val="Arial"/>
        <family val="2"/>
      </rPr>
      <t xml:space="preserve">  </t>
    </r>
  </si>
  <si>
    <t>The number of monthly residential bills in the reference year for 0 gallons, 1-1000 gallons, 1001-2000 gallons, 2001-3000 gallons, etc. through 24001-25000 gallons. Use the billing records to determine the total number of monthly bills sent to residential customers at each 1,000 gallon interval up through 25,000 gallons/month during the reference year.</t>
  </si>
  <si>
    <r>
      <t xml:space="preserve">Count the remaining number of residential monthly bills (all those above 25,000 gallons/month). </t>
    </r>
    <r>
      <rPr>
        <i/>
        <sz val="11"/>
        <rFont val="Arial"/>
        <family val="2"/>
      </rPr>
      <t>This should be the same as the difference between the total number of residential bills during the reference year (first bullet point) and the sum of residential bills in the previous bullet point.</t>
    </r>
  </si>
  <si>
    <r>
      <t xml:space="preserve">Calculate the average residential water use level in the bills for 25,001 gallons/month or above. </t>
    </r>
    <r>
      <rPr>
        <i/>
        <sz val="11"/>
        <rFont val="Arial"/>
        <family val="2"/>
      </rPr>
      <t>This average must be greater than 25,000 gallons/month.</t>
    </r>
  </si>
  <si>
    <t>Specify a range of "normal" average temperatures and "normal" annual precipitation levels.</t>
  </si>
  <si>
    <r>
      <t xml:space="preserve">Price elasticity estimates for residential water use at different consumption levels. </t>
    </r>
    <r>
      <rPr>
        <i/>
        <sz val="11"/>
        <rFont val="Arial"/>
        <family val="2"/>
      </rPr>
      <t xml:space="preserve">If price elasticity is unknown for the utility, use the default values pre-programmed into the tool. </t>
    </r>
  </si>
  <si>
    <r>
      <t xml:space="preserve">An estimate of the overall percent reduction in average residential water use during a scenario in which residential customers reduce demand </t>
    </r>
    <r>
      <rPr>
        <i/>
        <sz val="11"/>
        <rFont val="Arial"/>
        <family val="2"/>
      </rPr>
      <t>significantly and suddenly</t>
    </r>
    <r>
      <rPr>
        <sz val="11"/>
        <rFont val="Arial"/>
        <family val="2"/>
      </rPr>
      <t>, due to a shock such as implementation of a new conservation program, drought, economic pressures, etc.</t>
    </r>
  </si>
  <si>
    <t>Historic annual temperature and/or precipitation data in the utility's service area for the years with historic average residential water use levels in the previous bullet point.</t>
  </si>
  <si>
    <r>
      <t xml:space="preserve">The historic average residential water use in the past few years, up to 20 years. </t>
    </r>
    <r>
      <rPr>
        <i/>
        <sz val="11"/>
        <rFont val="Arial"/>
        <family val="2"/>
      </rPr>
      <t>Average water use can be determined for up to five blocks of consumption in each year if historical data are available on residential water use by blocks.</t>
    </r>
  </si>
  <si>
    <r>
      <t xml:space="preserve">The temperature and/or precipitation in or near the utility's service area during the reference year. </t>
    </r>
    <r>
      <rPr>
        <i/>
        <sz val="11"/>
        <rFont val="Arial"/>
        <family val="2"/>
      </rPr>
      <t>Instructions are included in this tool on how to determine these data from the NOAA website.</t>
    </r>
    <r>
      <rPr>
        <sz val="11"/>
        <rFont val="Arial"/>
        <family val="2"/>
      </rPr>
      <t xml:space="preserve"> </t>
    </r>
  </si>
  <si>
    <t>For more information, contact Jonathan Cuppett (jcuppett@waterRF.org) at the Water Research Foundation.</t>
  </si>
  <si>
    <r>
      <t>Mean Temperature (</t>
    </r>
    <r>
      <rPr>
        <b/>
        <sz val="11"/>
        <rFont val="Calibri"/>
        <family val="2"/>
      </rPr>
      <t>˚</t>
    </r>
    <r>
      <rPr>
        <b/>
        <sz val="11"/>
        <rFont val="Arial"/>
        <family val="2"/>
      </rPr>
      <t>F)</t>
    </r>
  </si>
  <si>
    <t>Mean Max. Temperature (˚F)</t>
  </si>
  <si>
    <t>˚F</t>
  </si>
  <si>
    <r>
      <rPr>
        <b/>
        <sz val="11"/>
        <color theme="3"/>
        <rFont val="Arial"/>
        <family val="2"/>
      </rPr>
      <t xml:space="preserve">[OPTIONAL] </t>
    </r>
    <r>
      <rPr>
        <sz val="11"/>
        <color theme="3"/>
        <rFont val="Arial"/>
        <family val="2"/>
      </rPr>
      <t xml:space="preserve"> Replace computed monthly bills by typing in correct amount. 
Leave blank to maintain computed bills.</t>
    </r>
  </si>
  <si>
    <r>
      <rPr>
        <b/>
        <sz val="11"/>
        <color theme="3"/>
        <rFont val="Arial"/>
        <family val="2"/>
      </rPr>
      <t xml:space="preserve">[OPTIONAL]  </t>
    </r>
    <r>
      <rPr>
        <sz val="11"/>
        <color theme="3"/>
        <rFont val="Arial"/>
        <family val="2"/>
      </rPr>
      <t>Replace computed monthly bills by typing in correct amount. 
Leave blank to maintain computed bills.</t>
    </r>
  </si>
  <si>
    <t>In this worksheet, the tool computes the expected annual revenues from residential monthly bills under the REFERENCE rate structure, assuming that weather and customer demands do not change from the REFERENCE scenario.</t>
  </si>
  <si>
    <t>Step 4: Decide on Whether to Compare an Alternative Rate Structure</t>
  </si>
  <si>
    <t>Step 7: Input the Number of Residential Bills that were Generated in One Year Using the REFERENCE Rates</t>
  </si>
  <si>
    <t>If the REFERENCE rate structure was a real rate structure for the utility for 12 months, obtain detailed billing records for all residential customers during those 12 months, broken down by 1,000 gallon/month intervals.</t>
  </si>
  <si>
    <t>Number of residential bills in the 12 months:</t>
  </si>
  <si>
    <t>Step 8: Input Data on Residential Bills with Volumes Greater than 25,000 Gallons/Month</t>
  </si>
  <si>
    <t>b) What is the monthly bill for that volume under the REFERENCE Rates?</t>
  </si>
  <si>
    <r>
      <t xml:space="preserve">a) What is the </t>
    </r>
    <r>
      <rPr>
        <b/>
        <u/>
        <sz val="11"/>
        <color theme="3"/>
        <rFont val="Arial"/>
        <family val="2"/>
      </rPr>
      <t>average</t>
    </r>
    <r>
      <rPr>
        <b/>
        <sz val="11"/>
        <color theme="3"/>
        <rFont val="Arial"/>
        <family val="2"/>
      </rPr>
      <t xml:space="preserve"> volume on all residential bills above 25,000 gallons/month?</t>
    </r>
  </si>
  <si>
    <t>Average monthly bill for volumes &gt;25,000 gallons/month under the REFERENCE rate structure:</t>
  </si>
  <si>
    <t>Leave blank to maintain computed bill.</t>
  </si>
  <si>
    <t xml:space="preserve">[OPTIONAL] Replace this monthly bill by typing in correct amount. </t>
  </si>
  <si>
    <t xml:space="preserve">     on average</t>
  </si>
  <si>
    <t xml:space="preserve">Based on the demand distribution above, the average residential water use is approximately: </t>
  </si>
  <si>
    <t>Estimated revenues generated by the residential bills under REFERENCE rates:</t>
  </si>
  <si>
    <t>Expected total annual residential revenues from REFERENCE rates:</t>
  </si>
  <si>
    <t>of total revenues</t>
  </si>
  <si>
    <t>In this worksheet, the tool computes the expected annual revenues from residential monthly bills under the COMPARATIVE rate structure, assuming that weather and customer demands do not change from the REFERENCE scenario, except in response to price elasticity if the COMPARATIVE rates differ from the REFERENCE rates.</t>
  </si>
  <si>
    <t>Step 9: Input Price Elasticity Estimates for Residential Water Use</t>
  </si>
  <si>
    <t>Price elasticity:</t>
  </si>
  <si>
    <t>[Optional] Adjust the default price elasticity estimates</t>
  </si>
  <si>
    <t>Based on the difference between the COMPARATIVE rates and REFERENCE rates and the price elasticities above, the new demand distribution and the total expected revenues from those demands are estimated to be the following:</t>
  </si>
  <si>
    <t>Estimated demand distribution and revenues generated by the residential bills under COMPARATIVE rates:</t>
  </si>
  <si>
    <t>Number of residential bills after price elasticity effects:</t>
  </si>
  <si>
    <t>Change from number of bills in the REFERENCE scenario:</t>
  </si>
  <si>
    <t>Expected annual revenues from COMPARATIVE rates</t>
  </si>
  <si>
    <t xml:space="preserve">When water rates increase, residential customers on average reduce their water use. For example, if monthly charges increase by 10%, residential water use might decrease by an average of 2%. Price elasticity is recorded as a negative ratio (-0.2 in this example). Price elasticity for water usually ranges between 0 and -1. The closer to 0, the less customers will reduce water use based on rate increases. Generally, the reduction in residential water use is more significant at higher levels of water consumption (values between -0.4 and -1) than at lower levels (values between 0 and -0.3). Elasticity around the average water use level is typically between -0.1 and -0.5. </t>
  </si>
  <si>
    <t>The only change to residential customer demands occurs due to changing rates and price elasticity. No conservation or weather influences on customer demand are modeled here.</t>
  </si>
  <si>
    <t>Step 10: [OPTIONAL] Input Historic Average Residential Water Use Levels, Temperature and Precipitation</t>
  </si>
  <si>
    <t>In this worksheet, the tool computes the expected annual revenues when residential customers adjust their water demands due to normal year-to-year weather variations. Based on the utility's current temperature and precipitation patterns, what might you expect for declining demands and revenues in the next year?</t>
  </si>
  <si>
    <t xml:space="preserve">Consumption block #1
</t>
  </si>
  <si>
    <t>Consumption block #2 
(if applicable)</t>
  </si>
  <si>
    <t>Consumption block #3 
(if applicable)</t>
  </si>
  <si>
    <t>Consumption block #4 
(if applicable)</t>
  </si>
  <si>
    <t>Consumption block #5 
(if applicable)</t>
  </si>
  <si>
    <t>Enter the endpoint of a consumption block (gallons/month). 
Leave blank if not applicable or unknown.</t>
  </si>
  <si>
    <t>Average residential monthly demand =  total yearly residential demand / (number of residential bills in that year * number of bill periods per year). 
Use single-family residences only if billing system distinguishes between residential customer types.
If average residential water use cannot be determined by block, do not enter block endpoints in the first row, and enter average use in the first column only.</t>
  </si>
  <si>
    <t>a) Input average residential monthly demands for as many blocks as possible for up to twenty years (in gallons/month)</t>
  </si>
  <si>
    <t>How resilient are the revenues generated from the COMPARATIVE rate structure to normal changes in weather patterns, using the current year's weather as a reference?</t>
  </si>
  <si>
    <t>b) Input annual temperature and/or precipitation data for up to twenty years</t>
  </si>
  <si>
    <t>1) Historic temperature and precipitation data can be obtained from:</t>
  </si>
  <si>
    <t>2) Click on the red flag to "Select by Location", choose your location, and then select one of the weather stations by checking the checkbox in the table and clicking on "Get Selected Data."</t>
  </si>
  <si>
    <t>3) Click on "View Full Details" under the name of the selected weather station, and then select a year from the dropdown menu to view data on temperature and/or precipitation and click on "View Data". A data table will appear in the browser, listing data for each month of the selected year. Repeat for all desired years and copy relevant data.</t>
  </si>
  <si>
    <t xml:space="preserve">4) If the weather station does not provide sufficient temperature and precipitation data for the desired years, please select a different weather station. </t>
  </si>
  <si>
    <t>5) Remember to compute average data for the correct months corresponding to the years for which average residential water use data were provided in the section above. If using Fiscal Years instead of Calendar Years, compute the average temperature and precipitation in the corresponding months of each Fiscal Year and input below.</t>
  </si>
  <si>
    <t>Match the years used in the above section.</t>
  </si>
  <si>
    <t>Total Annual Precipitation (inches/year)</t>
  </si>
  <si>
    <t>Mean Monthly Precipitation in April through September Only (inches/month)</t>
  </si>
  <si>
    <t>Step 11: [OPTIONAL] Adjust or Specify the Relationship between Residential Water Use and Weather</t>
  </si>
  <si>
    <t xml:space="preserve">For every 1˚F increase in mean temperature throughout the year, </t>
  </si>
  <si>
    <t xml:space="preserve">For every 1˚F increase in the average monthly maximum temperature, </t>
  </si>
  <si>
    <t>[OPTIONAL] Replace estimated ratio. Enter as percentage. Use negative for decreases.</t>
  </si>
  <si>
    <t>Step 12: Input the Temperature and Precipitation Data of the Reference Year</t>
  </si>
  <si>
    <t>Enter the temperature and/or precipitation data for 12-month period during which the residential water use profile used in "Revenues from REFERENCE Rates" were effective. The tool will then project changes in temperature and precipitation from this starting point to compute the range of potential gains and losses in revenues due to weather fluctuations.</t>
  </si>
  <si>
    <t>Input Data for Reference Year 
(at least where indicated as "mandatory")</t>
  </si>
  <si>
    <t>Step 13: Input a Normal Range of Temperatures and/or Precipitation</t>
  </si>
  <si>
    <t xml:space="preserve"> Enter what is considered to be a "normal" range of temperatures and/or precipitations for your service area. The tool will project demands within these ranges.</t>
  </si>
  <si>
    <t>Tool will assume the following values</t>
  </si>
  <si>
    <t>Tool will assume the following ranges</t>
  </si>
  <si>
    <t>Estimated Projected Revenues under COMPARATIVE Rates 
Due to Largest Temperature or Precipitation Effects on Utility's Residential Water Use</t>
  </si>
  <si>
    <t>Which rate structure is designed to be more resilient to customer demand fluctuations?</t>
  </si>
  <si>
    <t>Range of projected total annual residential revenues from COMPARATIVE rates, based on full range of normal temperatures and/or precipitation:</t>
  </si>
  <si>
    <t>Projected average residential water use (gallons/month):</t>
  </si>
  <si>
    <t>Comparing Revenues Due to Normal Weather Fluctuations</t>
  </si>
  <si>
    <t>Total annual revenues under COMPARATIVE rates, accounting for price elasticity effects, with no change to weather since reference year</t>
  </si>
  <si>
    <t>Estimated maximum potential GAIN from fluctuating weather patterns</t>
  </si>
  <si>
    <t>Estimated maximum potential LOSS from fluctuating weather patterns</t>
  </si>
  <si>
    <t>Estimated revenues under the COMPARATIVE rates, assuming no change to weather since reference year</t>
  </si>
  <si>
    <t>What is the range of projected total residential revenues using the COMPARATIVE rates, assuming that temperature and precipitation will fluctuate and affect residential demands?</t>
  </si>
  <si>
    <t>Projected revenues, gains and losses</t>
  </si>
  <si>
    <t>Under REFERENCE rates and weather patterns of the reference year</t>
  </si>
  <si>
    <t>Estimating Revenues from Normal Fluctuations to Weather</t>
  </si>
  <si>
    <t>Estimating Revenues After a Significant Decline in Water Use</t>
  </si>
  <si>
    <t>In this worksheet, the tool computes the expected annual revenues when customers lower their water demand significantly and suddenly, whether due to an unexpected water shortage scenario during which the utility implements conservation measures, or due to sudden changes to socioeconomic conditions that lead to reduced water use, or for any other reason that lowers water use significantly and suddenly.</t>
  </si>
  <si>
    <t xml:space="preserve">What is the expected overall reduction to average residential water use (in addition to changes due to price elasticity effects and normal weather variance) after initiating a significant conservation program or other scenario in which residential customers significantly cut back on their water demands? </t>
  </si>
  <si>
    <t>Suggestion: this might be the one-year target of average demand reduction for your conservation program</t>
  </si>
  <si>
    <t xml:space="preserve">This section estimates the relationship between residential water use and weather factors (temperature and/or precipitation). By default, based on statistical analysis of hundreds of thousands of real customers in other utilities, the tool estimates that average residential demand increases by 0.4% for every 1˚F increase to the average of all monthly "maximum temperatures" throughout the year, and average demand decreases by 0.6% for every 1 inch of additional precipitation throughout the year. These average ratios are used by default in this tool's calculations unless you input data for your utility. By inputting data below, new correlations are estimated that will be based on your utility's data, and may therefore improve the accuracy of the model's predictions.
(OPTIONAL) Input the average residential water use, temperature and precipitation levels for up to 20 recent years. The minimum data required are same-year data on average residential water use and temperature, or same-year data on average residential water use and precipitation. If average residential water use can be calculated at different blocks, input up to five blocks' data below. The more data entered, the more precise the tool will be in predicting your utility's customers' demand changes based on weather changes. </t>
  </si>
  <si>
    <t>Step 15: [OPTIONAL] Review the Estimated New Demand Distribution</t>
  </si>
  <si>
    <t>Based on the models using your utility's unique customer base's demand distribution and expected reduction in average water use, it is predicted that the utility's new demand distribution might be:</t>
  </si>
  <si>
    <t>a) Review demand distribution using REFERENCE rates</t>
  </si>
  <si>
    <t>b) Review demand distribution using COMPARATIVE rates</t>
  </si>
  <si>
    <t>[OPTIONAL] Edit these estimates using own prediction.
Leave blank to maintain computed estimates.</t>
  </si>
  <si>
    <t>Expected total annual revenues</t>
  </si>
  <si>
    <t>Actual percentage of bills used in calculations</t>
  </si>
  <si>
    <t>Comparing Revenues After a Significant Decline in Water Use</t>
  </si>
  <si>
    <t>These graphs compare the potential revenues lost when residential customers reduce their demands significantly due to an external shock. Graphs compare the revenue resiliency of the REFERENCE and the COMPARATIVE rates.</t>
  </si>
  <si>
    <t>What is the range of projected total revenues the utility can generate assuming there will be a significant reduction in residential water use under both rate structures?</t>
  </si>
  <si>
    <t>Projected total annual revenues from base charges</t>
  </si>
  <si>
    <t>Projected total annual revenues from volumetric charges</t>
  </si>
  <si>
    <t>Modeled average residential water use (gallons/month)</t>
  </si>
  <si>
    <t>With no change in demand, except for price elasticity effects</t>
  </si>
  <si>
    <t>Estimated (modeled) annual residential revenues and demand under COMPARATIVE rates</t>
  </si>
  <si>
    <t>Estimated (modeled) annual residential revenues and demand under REFERENCE rates</t>
  </si>
  <si>
    <t>With no change in demand from the reference year</t>
  </si>
  <si>
    <t>No reduction, except for price elasticity effects</t>
  </si>
  <si>
    <t>Modeled reduction in average residential water use might differ slightly from user input due to model estimate adjustments.</t>
  </si>
  <si>
    <t>Step 14: Input an Approximate Estimates of Expected Immediate Reduction in Average Residential Water Use</t>
  </si>
  <si>
    <t>The greater the proportion of the monthly bill that is comprised from the base charge, the greater the resiliency of the generated revenues to fluctuating customer demands. Higher lines on this chart reflect greater revenue generation from base charges, and greater revenue resiliency against declining demands. On the other hand, higher base charges may be less affordable for some residential customers to pay and dilute price incentives for conservation and water use efficiency.</t>
  </si>
  <si>
    <t>Enter a negative value, between -10% and -50%: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</si>
</sst>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44" formatCode="_(&quot;$&quot;* #,##0.00_);_(&quot;$&quot;* \(#,##0.00\);_(&quot;$&quot;* &quot;-&quot;??_);_(@_)"/>
    <numFmt numFmtId="43" formatCode="_(* #,##0.00_);_(* \(#,##0.00\);_(* &quot;-&quot;??_);_(@_)"/>
    <numFmt numFmtId="164" formatCode="&quot;$&quot;#,##0.00;\(&quot;$&quot;#,##0.00\)"/>
    <numFmt numFmtId="165" formatCode="&quot;$&quot;#,##0.00"/>
    <numFmt numFmtId="166" formatCode="0.0%"/>
    <numFmt numFmtId="167" formatCode="0.000"/>
    <numFmt numFmtId="168" formatCode="&quot;$&quot;#,##0"/>
    <numFmt numFmtId="169" formatCode="0.0"/>
    <numFmt numFmtId="170" formatCode="#,##0.0"/>
    <numFmt numFmtId="171" formatCode="[$-409]mmmm\ d\,\ yyyy;@"/>
  </numFmts>
  <fonts count="106">
    <font>
      <sz val="10"/>
      <name val="Arial"/>
    </font>
    <font>
      <sz val="11"/>
      <color theme="1"/>
      <name val="Calibri"/>
      <family val="2"/>
      <scheme val="minor"/>
    </font>
    <font>
      <sz val="11"/>
      <color theme="1"/>
      <name val="Calibri"/>
      <family val="2"/>
      <scheme val="minor"/>
    </font>
    <font>
      <sz val="10"/>
      <name val="Arial"/>
      <family val="2"/>
    </font>
    <font>
      <sz val="10"/>
      <name val="Arial"/>
      <family val="2"/>
    </font>
    <font>
      <sz val="11"/>
      <name val="Arial"/>
      <family val="2"/>
    </font>
    <font>
      <sz val="10"/>
      <color indexed="8"/>
      <name val="Arial"/>
      <family val="2"/>
    </font>
    <font>
      <sz val="10"/>
      <name val="MS Sans Serif"/>
      <family val="2"/>
    </font>
    <font>
      <sz val="10"/>
      <color theme="0"/>
      <name val="Arial"/>
      <family val="2"/>
    </font>
    <font>
      <u/>
      <sz val="10"/>
      <name val="Arial"/>
      <family val="2"/>
    </font>
    <font>
      <b/>
      <sz val="10"/>
      <name val="Arial"/>
      <family val="2"/>
    </font>
    <font>
      <i/>
      <sz val="10"/>
      <name val="Arial"/>
      <family val="2"/>
    </font>
    <font>
      <b/>
      <sz val="10"/>
      <color theme="0"/>
      <name val="Arial"/>
      <family val="2"/>
    </font>
    <font>
      <sz val="10"/>
      <color theme="0" tint="-0.499984740745262"/>
      <name val="Arial"/>
      <family val="2"/>
    </font>
    <font>
      <u/>
      <sz val="10"/>
      <color theme="1" tint="0.499984740745262"/>
      <name val="Arial"/>
      <family val="2"/>
    </font>
    <font>
      <strike/>
      <u/>
      <sz val="10"/>
      <color theme="2" tint="-0.249977111117893"/>
      <name val="Arial"/>
      <family val="2"/>
    </font>
    <font>
      <strike/>
      <sz val="10"/>
      <color theme="2" tint="-0.249977111117893"/>
      <name val="Arial"/>
      <family val="2"/>
    </font>
    <font>
      <b/>
      <strike/>
      <sz val="10"/>
      <color theme="2" tint="-0.249977111117893"/>
      <name val="Arial"/>
      <family val="2"/>
    </font>
    <font>
      <u/>
      <sz val="10"/>
      <color theme="10"/>
      <name val="Arial"/>
      <family val="2"/>
    </font>
    <font>
      <sz val="10"/>
      <color theme="6" tint="0.79998168889431442"/>
      <name val="Arial"/>
      <family val="2"/>
    </font>
    <font>
      <b/>
      <sz val="11"/>
      <name val="Arial"/>
      <family val="2"/>
    </font>
    <font>
      <b/>
      <sz val="12"/>
      <color theme="3"/>
      <name val="Arial"/>
      <family val="2"/>
    </font>
    <font>
      <sz val="10"/>
      <color theme="3"/>
      <name val="Arial"/>
      <family val="2"/>
    </font>
    <font>
      <sz val="9"/>
      <color indexed="81"/>
      <name val="Tahoma"/>
      <family val="2"/>
    </font>
    <font>
      <sz val="10"/>
      <color theme="4" tint="0.79998168889431442"/>
      <name val="Arial"/>
      <family val="2"/>
    </font>
    <font>
      <sz val="10"/>
      <color theme="1" tint="0.499984740745262"/>
      <name val="Arial"/>
      <family val="2"/>
    </font>
    <font>
      <u/>
      <sz val="10"/>
      <color theme="6" tint="0.79998168889431442"/>
      <name val="Arial"/>
      <family val="2"/>
    </font>
    <font>
      <sz val="11"/>
      <color theme="3"/>
      <name val="Arial"/>
      <family val="2"/>
    </font>
    <font>
      <u/>
      <sz val="10"/>
      <color theme="3"/>
      <name val="Arial"/>
      <family val="2"/>
    </font>
    <font>
      <b/>
      <i/>
      <sz val="12"/>
      <color rgb="FFFF0000"/>
      <name val="Arial"/>
      <family val="2"/>
    </font>
    <font>
      <sz val="14"/>
      <name val="Arial"/>
      <family val="2"/>
    </font>
    <font>
      <i/>
      <sz val="10"/>
      <color rgb="FFFF0000"/>
      <name val="Arial"/>
      <family val="2"/>
    </font>
    <font>
      <b/>
      <sz val="10"/>
      <color theme="3"/>
      <name val="Arial"/>
      <family val="2"/>
    </font>
    <font>
      <i/>
      <sz val="10"/>
      <color theme="3"/>
      <name val="Arial"/>
      <family val="2"/>
    </font>
    <font>
      <sz val="12"/>
      <name val="Arial"/>
      <family val="2"/>
    </font>
    <font>
      <i/>
      <sz val="12"/>
      <name val="Arial"/>
      <family val="2"/>
    </font>
    <font>
      <b/>
      <u/>
      <sz val="11"/>
      <name val="Arial"/>
      <family val="2"/>
    </font>
    <font>
      <i/>
      <sz val="11"/>
      <color theme="3"/>
      <name val="Arial"/>
      <family val="2"/>
    </font>
    <font>
      <sz val="11"/>
      <color theme="0"/>
      <name val="Arial"/>
      <family val="2"/>
    </font>
    <font>
      <b/>
      <sz val="11"/>
      <color theme="0"/>
      <name val="Arial"/>
      <family val="2"/>
    </font>
    <font>
      <b/>
      <sz val="22"/>
      <color theme="0"/>
      <name val="Andale Sans for VST"/>
      <family val="2"/>
    </font>
    <font>
      <i/>
      <sz val="19"/>
      <name val="Andale Sans for VST"/>
      <family val="2"/>
    </font>
    <font>
      <sz val="10.5"/>
      <name val="Arial"/>
      <family val="2"/>
    </font>
    <font>
      <b/>
      <u/>
      <sz val="18"/>
      <name val="Arial"/>
      <family val="2"/>
    </font>
    <font>
      <i/>
      <sz val="14"/>
      <name val="Arial"/>
      <family val="2"/>
    </font>
    <font>
      <b/>
      <i/>
      <sz val="11"/>
      <name val="Arial"/>
      <family val="2"/>
    </font>
    <font>
      <i/>
      <sz val="11"/>
      <name val="Arial"/>
      <family val="2"/>
    </font>
    <font>
      <b/>
      <sz val="24"/>
      <color theme="3"/>
      <name val="Arial"/>
      <family val="2"/>
    </font>
    <font>
      <sz val="12"/>
      <color theme="3"/>
      <name val="Arial"/>
      <family val="2"/>
    </font>
    <font>
      <b/>
      <sz val="14"/>
      <color theme="3"/>
      <name val="Arial"/>
      <family val="2"/>
    </font>
    <font>
      <sz val="11"/>
      <color theme="6" tint="0.79998168889431442"/>
      <name val="Arial"/>
      <family val="2"/>
    </font>
    <font>
      <sz val="11"/>
      <color theme="4" tint="0.79998168889431442"/>
      <name val="Arial"/>
      <family val="2"/>
    </font>
    <font>
      <sz val="14"/>
      <color theme="6" tint="0.79998168889431442"/>
      <name val="Arial"/>
      <family val="2"/>
    </font>
    <font>
      <sz val="11"/>
      <color theme="0" tint="-0.499984740745262"/>
      <name val="Arial"/>
      <family val="2"/>
    </font>
    <font>
      <sz val="11"/>
      <color theme="1"/>
      <name val="Arial"/>
      <family val="2"/>
    </font>
    <font>
      <b/>
      <sz val="12"/>
      <name val="Arial"/>
      <family val="2"/>
    </font>
    <font>
      <b/>
      <sz val="24"/>
      <color theme="0"/>
      <name val="Arial"/>
      <family val="2"/>
    </font>
    <font>
      <u/>
      <sz val="10"/>
      <color theme="0"/>
      <name val="Arial"/>
      <family val="2"/>
    </font>
    <font>
      <b/>
      <sz val="10"/>
      <color theme="0" tint="-0.499984740745262"/>
      <name val="Arial"/>
      <family val="2"/>
    </font>
    <font>
      <b/>
      <sz val="16"/>
      <name val="Arial"/>
      <family val="2"/>
    </font>
    <font>
      <b/>
      <sz val="11"/>
      <color theme="1"/>
      <name val="Arial"/>
      <family val="2"/>
    </font>
    <font>
      <i/>
      <sz val="11"/>
      <color theme="0" tint="-0.499984740745262"/>
      <name val="Arial"/>
      <family val="2"/>
    </font>
    <font>
      <i/>
      <sz val="11"/>
      <color theme="1"/>
      <name val="Arial"/>
      <family val="2"/>
    </font>
    <font>
      <sz val="10"/>
      <color theme="6" tint="0.59999389629810485"/>
      <name val="Arial"/>
      <family val="2"/>
    </font>
    <font>
      <i/>
      <sz val="10"/>
      <color theme="6" tint="0.59999389629810485"/>
      <name val="Arial"/>
      <family val="2"/>
    </font>
    <font>
      <b/>
      <sz val="11"/>
      <color theme="3"/>
      <name val="Arial"/>
      <family val="2"/>
    </font>
    <font>
      <u/>
      <sz val="11"/>
      <name val="Arial"/>
      <family val="2"/>
    </font>
    <font>
      <u/>
      <sz val="11"/>
      <color theme="1" tint="0.499984740745262"/>
      <name val="Arial"/>
      <family val="2"/>
    </font>
    <font>
      <b/>
      <strike/>
      <sz val="11"/>
      <color theme="2" tint="-0.249977111117893"/>
      <name val="Arial"/>
      <family val="2"/>
    </font>
    <font>
      <strike/>
      <u/>
      <sz val="11"/>
      <color theme="2" tint="-0.249977111117893"/>
      <name val="Arial"/>
      <family val="2"/>
    </font>
    <font>
      <strike/>
      <sz val="11"/>
      <color theme="2" tint="-0.249977111117893"/>
      <name val="Arial"/>
      <family val="2"/>
    </font>
    <font>
      <b/>
      <i/>
      <sz val="11"/>
      <color rgb="FFFF0000"/>
      <name val="Arial"/>
      <family val="2"/>
    </font>
    <font>
      <sz val="11"/>
      <color indexed="8"/>
      <name val="Arial"/>
      <family val="2"/>
    </font>
    <font>
      <sz val="11"/>
      <color theme="6" tint="0.59999389629810485"/>
      <name val="Arial"/>
      <family val="2"/>
    </font>
    <font>
      <i/>
      <sz val="11"/>
      <color theme="0"/>
      <name val="Arial"/>
      <family val="2"/>
    </font>
    <font>
      <sz val="12"/>
      <color theme="0"/>
      <name val="Arial"/>
      <family val="2"/>
    </font>
    <font>
      <sz val="14"/>
      <color theme="0"/>
      <name val="Arial"/>
      <family val="2"/>
    </font>
    <font>
      <i/>
      <sz val="14"/>
      <color theme="0"/>
      <name val="Arial"/>
      <family val="2"/>
    </font>
    <font>
      <b/>
      <sz val="14"/>
      <color theme="0"/>
      <name val="Arial"/>
      <family val="2"/>
    </font>
    <font>
      <b/>
      <u/>
      <sz val="12"/>
      <name val="Arial"/>
      <family val="2"/>
    </font>
    <font>
      <i/>
      <sz val="11"/>
      <color rgb="FFFF0000"/>
      <name val="Arial"/>
      <family val="2"/>
    </font>
    <font>
      <sz val="11"/>
      <color theme="5"/>
      <name val="Arial"/>
      <family val="2"/>
    </font>
    <font>
      <b/>
      <sz val="11"/>
      <color rgb="FFFF0000"/>
      <name val="Arial"/>
      <family val="2"/>
    </font>
    <font>
      <b/>
      <sz val="18"/>
      <name val="Arial"/>
      <family val="2"/>
    </font>
    <font>
      <sz val="11"/>
      <color theme="0" tint="-0.249977111117893"/>
      <name val="Arial"/>
      <family val="2"/>
    </font>
    <font>
      <b/>
      <sz val="9"/>
      <color indexed="81"/>
      <name val="Tahoma"/>
      <family val="2"/>
    </font>
    <font>
      <u/>
      <sz val="10"/>
      <color theme="4" tint="0.79998168889431442"/>
      <name val="Arial"/>
      <family val="2"/>
    </font>
    <font>
      <sz val="11"/>
      <name val="Calibri"/>
      <family val="2"/>
    </font>
    <font>
      <b/>
      <sz val="11"/>
      <name val="Calibri"/>
      <family val="2"/>
    </font>
    <font>
      <b/>
      <i/>
      <sz val="12"/>
      <name val="Arial"/>
      <family val="2"/>
    </font>
    <font>
      <sz val="10.5"/>
      <color theme="0"/>
      <name val="Arial"/>
      <family val="2"/>
    </font>
    <font>
      <u/>
      <sz val="11"/>
      <color theme="0"/>
      <name val="Arial"/>
      <family val="2"/>
    </font>
    <font>
      <strike/>
      <u/>
      <sz val="11"/>
      <color theme="0"/>
      <name val="Arial"/>
      <family val="2"/>
    </font>
    <font>
      <strike/>
      <sz val="11"/>
      <color theme="0"/>
      <name val="Arial"/>
      <family val="2"/>
    </font>
    <font>
      <b/>
      <strike/>
      <sz val="11"/>
      <color theme="0"/>
      <name val="Arial"/>
      <family val="2"/>
    </font>
    <font>
      <sz val="12"/>
      <color theme="1"/>
      <name val="Arial"/>
      <family val="2"/>
    </font>
    <font>
      <sz val="12"/>
      <color rgb="FFFF0000"/>
      <name val="Arial"/>
      <family val="2"/>
    </font>
    <font>
      <b/>
      <u/>
      <sz val="11"/>
      <color theme="3"/>
      <name val="Arial"/>
      <family val="2"/>
    </font>
    <font>
      <b/>
      <i/>
      <sz val="11"/>
      <color theme="1"/>
      <name val="Arial"/>
      <family val="2"/>
    </font>
    <font>
      <u/>
      <sz val="11"/>
      <color theme="10"/>
      <name val="Arial"/>
      <family val="2"/>
    </font>
    <font>
      <sz val="11"/>
      <color theme="0" tint="-0.34998626667073579"/>
      <name val="Arial"/>
      <family val="2"/>
    </font>
    <font>
      <sz val="11"/>
      <color rgb="FFFF0000"/>
      <name val="Arial"/>
      <family val="2"/>
    </font>
    <font>
      <sz val="10"/>
      <color theme="1"/>
      <name val="Arial"/>
      <family val="2"/>
    </font>
    <font>
      <sz val="10"/>
      <color theme="0" tint="-0.34998626667073579"/>
      <name val="Arial"/>
      <family val="2"/>
    </font>
    <font>
      <sz val="12"/>
      <color theme="0" tint="-0.34998626667073579"/>
      <name val="Arial"/>
      <family val="2"/>
    </font>
    <font>
      <sz val="14"/>
      <color theme="0" tint="-0.34998626667073579"/>
      <name val="Arial"/>
      <family val="2"/>
    </font>
  </fonts>
  <fills count="12">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bgColor indexed="64"/>
      </patternFill>
    </fill>
    <fill>
      <patternFill patternType="solid">
        <fgColor theme="0"/>
        <bgColor indexed="64"/>
      </patternFill>
    </fill>
    <fill>
      <patternFill patternType="solid">
        <fgColor theme="4" tint="-0.49998474074526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2" tint="-9.9978637043366805E-2"/>
        <bgColor indexed="64"/>
      </patternFill>
    </fill>
  </fills>
  <borders count="4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medium">
        <color auto="1"/>
      </left>
      <right/>
      <top style="medium">
        <color auto="1"/>
      </top>
      <bottom/>
      <diagonal/>
    </border>
    <border>
      <left/>
      <right style="medium">
        <color auto="1"/>
      </right>
      <top style="medium">
        <color auto="1"/>
      </top>
      <bottom/>
      <diagonal/>
    </border>
    <border>
      <left/>
      <right/>
      <top style="thin">
        <color auto="1"/>
      </top>
      <bottom style="thin">
        <color auto="1"/>
      </bottom>
      <diagonal/>
    </border>
    <border>
      <left/>
      <right style="medium">
        <color auto="1"/>
      </right>
      <top/>
      <bottom/>
      <diagonal/>
    </border>
    <border>
      <left/>
      <right style="medium">
        <color auto="1"/>
      </right>
      <top/>
      <bottom style="medium">
        <color auto="1"/>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theme="3" tint="-0.499984740745262"/>
      </left>
      <right/>
      <top style="medium">
        <color theme="3" tint="-0.499984740745262"/>
      </top>
      <bottom style="medium">
        <color theme="3" tint="-0.499984740745262"/>
      </bottom>
      <diagonal/>
    </border>
    <border>
      <left/>
      <right/>
      <top style="medium">
        <color theme="3" tint="-0.499984740745262"/>
      </top>
      <bottom style="medium">
        <color theme="3" tint="-0.499984740745262"/>
      </bottom>
      <diagonal/>
    </border>
    <border>
      <left/>
      <right/>
      <top style="thin">
        <color theme="3" tint="-0.499984740745262"/>
      </top>
      <bottom/>
      <diagonal/>
    </border>
    <border>
      <left style="medium">
        <color theme="3" tint="-0.499984740745262"/>
      </left>
      <right/>
      <top style="medium">
        <color theme="3" tint="-0.499984740745262"/>
      </top>
      <bottom style="thin">
        <color auto="1"/>
      </bottom>
      <diagonal/>
    </border>
    <border>
      <left/>
      <right/>
      <top style="medium">
        <color theme="3" tint="-0.499984740745262"/>
      </top>
      <bottom style="thin">
        <color auto="1"/>
      </bottom>
      <diagonal/>
    </border>
    <border>
      <left/>
      <right style="medium">
        <color theme="3" tint="-0.499984740745262"/>
      </right>
      <top style="medium">
        <color theme="3" tint="-0.499984740745262"/>
      </top>
      <bottom style="thin">
        <color auto="1"/>
      </bottom>
      <diagonal/>
    </border>
    <border>
      <left/>
      <right style="medium">
        <color theme="3" tint="-0.499984740745262"/>
      </right>
      <top style="thin">
        <color indexed="64"/>
      </top>
      <bottom/>
      <diagonal/>
    </border>
    <border>
      <left/>
      <right style="medium">
        <color theme="3" tint="-0.499984740745262"/>
      </right>
      <top style="medium">
        <color theme="3" tint="-0.499984740745262"/>
      </top>
      <bottom style="medium">
        <color theme="3" tint="-0.499984740745262"/>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auto="1"/>
      </right>
      <top style="medium">
        <color auto="1"/>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auto="1"/>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medium">
        <color theme="3" tint="-0.499984740745262"/>
      </left>
      <right/>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8">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0"/>
    <xf numFmtId="0" fontId="4" fillId="0" borderId="0"/>
    <xf numFmtId="44" fontId="3" fillId="0" borderId="0" applyFont="0" applyFill="0" applyBorder="0" applyAlignment="0" applyProtection="0"/>
    <xf numFmtId="0" fontId="7" fillId="0" borderId="0"/>
    <xf numFmtId="0" fontId="4" fillId="0" borderId="0"/>
    <xf numFmtId="0" fontId="2" fillId="0" borderId="0"/>
    <xf numFmtId="0" fontId="3" fillId="0" borderId="0"/>
    <xf numFmtId="9" fontId="3" fillId="0" borderId="0" applyFont="0" applyFill="0" applyBorder="0" applyAlignment="0" applyProtection="0"/>
    <xf numFmtId="44" fontId="3"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1" fillId="0" borderId="0"/>
    <xf numFmtId="0" fontId="18" fillId="0" borderId="0" applyNumberFormat="0" applyFill="0" applyBorder="0" applyAlignment="0" applyProtection="0"/>
  </cellStyleXfs>
  <cellXfs count="1177">
    <xf numFmtId="0" fontId="0" fillId="0" borderId="0" xfId="0"/>
    <xf numFmtId="0" fontId="4" fillId="0" borderId="0" xfId="8"/>
    <xf numFmtId="0" fontId="4" fillId="0" borderId="3" xfId="8" applyBorder="1"/>
    <xf numFmtId="0" fontId="4" fillId="0" borderId="0" xfId="8" applyBorder="1"/>
    <xf numFmtId="0" fontId="10" fillId="0" borderId="0" xfId="0" applyFont="1"/>
    <xf numFmtId="0" fontId="0" fillId="0" borderId="0" xfId="0" quotePrefix="1"/>
    <xf numFmtId="11" fontId="0" fillId="0" borderId="0" xfId="0" applyNumberFormat="1"/>
    <xf numFmtId="0" fontId="3" fillId="0" borderId="0" xfId="8" applyFont="1" applyBorder="1" applyAlignment="1">
      <alignment vertical="top" wrapText="1"/>
    </xf>
    <xf numFmtId="0" fontId="12" fillId="0" borderId="0" xfId="0" applyFont="1" applyFill="1"/>
    <xf numFmtId="0" fontId="8" fillId="0" borderId="0" xfId="0" applyFont="1" applyFill="1"/>
    <xf numFmtId="0" fontId="8" fillId="0" borderId="0" xfId="0" applyFont="1" applyFill="1" applyAlignment="1">
      <alignment horizontal="center"/>
    </xf>
    <xf numFmtId="0" fontId="8" fillId="0" borderId="0" xfId="0" quotePrefix="1" applyFont="1" applyFill="1"/>
    <xf numFmtId="1" fontId="8" fillId="0" borderId="0" xfId="0" applyNumberFormat="1" applyFont="1" applyFill="1"/>
    <xf numFmtId="167" fontId="8" fillId="0" borderId="0" xfId="0" applyNumberFormat="1" applyFont="1" applyFill="1"/>
    <xf numFmtId="0" fontId="8" fillId="0" borderId="0" xfId="0" applyFont="1"/>
    <xf numFmtId="9" fontId="8" fillId="0" borderId="0" xfId="0" applyNumberFormat="1" applyFont="1"/>
    <xf numFmtId="1" fontId="8" fillId="0" borderId="0" xfId="0" applyNumberFormat="1" applyFont="1"/>
    <xf numFmtId="37" fontId="8" fillId="0" borderId="0" xfId="0" applyNumberFormat="1" applyFont="1"/>
    <xf numFmtId="165" fontId="8" fillId="0" borderId="0" xfId="12" applyNumberFormat="1" applyFont="1" applyFill="1" applyBorder="1" applyAlignment="1">
      <alignment horizontal="center"/>
    </xf>
    <xf numFmtId="168" fontId="8" fillId="0" borderId="0" xfId="0" applyNumberFormat="1" applyFont="1"/>
    <xf numFmtId="0" fontId="5" fillId="0" borderId="0" xfId="0" applyFont="1" applyFill="1"/>
    <xf numFmtId="0" fontId="8" fillId="5" borderId="0" xfId="0" applyFont="1" applyFill="1" applyBorder="1"/>
    <xf numFmtId="0" fontId="0" fillId="0" borderId="0" xfId="0" applyFill="1"/>
    <xf numFmtId="0" fontId="3" fillId="0" borderId="0" xfId="0" applyFont="1" applyFill="1"/>
    <xf numFmtId="0" fontId="31" fillId="0" borderId="0" xfId="0" applyFont="1" applyFill="1"/>
    <xf numFmtId="0" fontId="3" fillId="0" borderId="0" xfId="0" applyFont="1" applyFill="1" applyAlignment="1">
      <alignment horizontal="left" vertical="top" wrapText="1"/>
    </xf>
    <xf numFmtId="0" fontId="9" fillId="0" borderId="0" xfId="0" applyFont="1" applyFill="1"/>
    <xf numFmtId="0" fontId="0" fillId="6" borderId="0" xfId="0" applyFill="1"/>
    <xf numFmtId="0" fontId="40" fillId="6" borderId="0" xfId="0" applyFont="1" applyFill="1" applyAlignment="1"/>
    <xf numFmtId="0" fontId="0" fillId="6" borderId="0" xfId="0" applyFill="1" applyBorder="1"/>
    <xf numFmtId="0" fontId="5" fillId="6" borderId="0" xfId="0" applyFont="1" applyFill="1"/>
    <xf numFmtId="0" fontId="37" fillId="6" borderId="0" xfId="0" applyFont="1" applyFill="1" applyAlignment="1"/>
    <xf numFmtId="0" fontId="41" fillId="6" borderId="0" xfId="0" applyFont="1" applyFill="1" applyAlignment="1"/>
    <xf numFmtId="0" fontId="10" fillId="0" borderId="0" xfId="0" applyFont="1" applyFill="1" applyAlignment="1">
      <alignment horizontal="center" wrapText="1"/>
    </xf>
    <xf numFmtId="0" fontId="3" fillId="6" borderId="0" xfId="10" applyFont="1" applyFill="1"/>
    <xf numFmtId="165" fontId="5" fillId="2" borderId="0" xfId="10" applyNumberFormat="1" applyFont="1" applyFill="1" applyBorder="1" applyAlignment="1" applyProtection="1">
      <alignment horizontal="center"/>
      <protection locked="0"/>
    </xf>
    <xf numFmtId="0" fontId="3" fillId="6" borderId="0" xfId="10" applyFont="1" applyFill="1" applyBorder="1"/>
    <xf numFmtId="0" fontId="5" fillId="2" borderId="0" xfId="10" applyNumberFormat="1" applyFont="1" applyFill="1" applyBorder="1" applyAlignment="1" applyProtection="1">
      <alignment horizontal="center"/>
      <protection locked="0"/>
    </xf>
    <xf numFmtId="165" fontId="5" fillId="2" borderId="0" xfId="10" applyNumberFormat="1" applyFont="1" applyFill="1" applyBorder="1" applyProtection="1">
      <protection locked="0"/>
    </xf>
    <xf numFmtId="165" fontId="5" fillId="2" borderId="21" xfId="10" applyNumberFormat="1" applyFont="1" applyFill="1" applyBorder="1" applyAlignment="1" applyProtection="1">
      <alignment horizontal="center"/>
      <protection locked="0"/>
    </xf>
    <xf numFmtId="0" fontId="5" fillId="2" borderId="21" xfId="10" applyNumberFormat="1" applyFont="1" applyFill="1" applyBorder="1" applyAlignment="1" applyProtection="1">
      <alignment horizontal="center"/>
      <protection locked="0"/>
    </xf>
    <xf numFmtId="0" fontId="8" fillId="6" borderId="0" xfId="10" applyFont="1" applyFill="1" applyBorder="1"/>
    <xf numFmtId="0" fontId="8" fillId="6" borderId="0" xfId="10" applyFont="1" applyFill="1"/>
    <xf numFmtId="0" fontId="40" fillId="6" borderId="0" xfId="10" applyFont="1" applyFill="1" applyBorder="1" applyAlignment="1">
      <alignment vertical="center"/>
    </xf>
    <xf numFmtId="0" fontId="4" fillId="0" borderId="0" xfId="8" applyFill="1"/>
    <xf numFmtId="0" fontId="4" fillId="0" borderId="0" xfId="8" applyFill="1" applyBorder="1"/>
    <xf numFmtId="0" fontId="29" fillId="0" borderId="0" xfId="8" applyFont="1" applyFill="1"/>
    <xf numFmtId="0" fontId="20" fillId="10" borderId="18" xfId="8" applyFont="1" applyFill="1" applyBorder="1"/>
    <xf numFmtId="0" fontId="4" fillId="10" borderId="0" xfId="8" applyFill="1" applyBorder="1"/>
    <xf numFmtId="0" fontId="4" fillId="10" borderId="19" xfId="8" applyFill="1" applyBorder="1"/>
    <xf numFmtId="0" fontId="4" fillId="10" borderId="18" xfId="8" applyFill="1" applyBorder="1"/>
    <xf numFmtId="0" fontId="3" fillId="10" borderId="0" xfId="8" applyFont="1" applyFill="1" applyBorder="1"/>
    <xf numFmtId="0" fontId="3" fillId="10" borderId="19" xfId="8" applyFont="1" applyFill="1" applyBorder="1"/>
    <xf numFmtId="0" fontId="4" fillId="10" borderId="20" xfId="8" applyFill="1" applyBorder="1"/>
    <xf numFmtId="0" fontId="4" fillId="10" borderId="21" xfId="8" applyFill="1" applyBorder="1"/>
    <xf numFmtId="0" fontId="4" fillId="10" borderId="21" xfId="8" applyFill="1" applyBorder="1" applyAlignment="1">
      <alignment vertical="top" wrapText="1"/>
    </xf>
    <xf numFmtId="0" fontId="4" fillId="10" borderId="22" xfId="8" applyFill="1" applyBorder="1" applyAlignment="1">
      <alignment vertical="top" wrapText="1"/>
    </xf>
    <xf numFmtId="0" fontId="63" fillId="10" borderId="0" xfId="8" applyFont="1" applyFill="1" applyBorder="1"/>
    <xf numFmtId="9" fontId="63" fillId="10" borderId="0" xfId="8" applyNumberFormat="1" applyFont="1" applyFill="1" applyBorder="1"/>
    <xf numFmtId="9" fontId="64" fillId="10" borderId="19" xfId="8" applyNumberFormat="1" applyFont="1" applyFill="1" applyBorder="1"/>
    <xf numFmtId="0" fontId="63" fillId="10" borderId="0" xfId="0" applyFont="1" applyFill="1" applyBorder="1" applyAlignment="1">
      <alignment wrapText="1"/>
    </xf>
    <xf numFmtId="0" fontId="63" fillId="10" borderId="19" xfId="0" applyFont="1" applyFill="1" applyBorder="1" applyAlignment="1">
      <alignment wrapText="1"/>
    </xf>
    <xf numFmtId="0" fontId="63" fillId="10" borderId="19" xfId="8" applyFont="1" applyFill="1" applyBorder="1"/>
    <xf numFmtId="0" fontId="5" fillId="9" borderId="26" xfId="8" applyFont="1" applyFill="1" applyBorder="1"/>
    <xf numFmtId="0" fontId="5" fillId="9" borderId="18" xfId="8" applyFont="1" applyFill="1" applyBorder="1"/>
    <xf numFmtId="0" fontId="5" fillId="9" borderId="20" xfId="8" applyFont="1" applyFill="1" applyBorder="1"/>
    <xf numFmtId="0" fontId="3" fillId="10" borderId="18" xfId="8" applyFont="1" applyFill="1" applyBorder="1"/>
    <xf numFmtId="0" fontId="3" fillId="10" borderId="20" xfId="8" applyFont="1" applyFill="1" applyBorder="1"/>
    <xf numFmtId="0" fontId="3" fillId="10" borderId="21" xfId="8" applyFont="1" applyFill="1" applyBorder="1"/>
    <xf numFmtId="0" fontId="3" fillId="10" borderId="22" xfId="8" applyFont="1" applyFill="1" applyBorder="1"/>
    <xf numFmtId="0" fontId="20" fillId="9" borderId="27" xfId="8" applyFont="1" applyFill="1" applyBorder="1" applyAlignment="1">
      <alignment horizontal="center" vertical="center" wrapText="1"/>
    </xf>
    <xf numFmtId="0" fontId="45" fillId="9" borderId="28" xfId="8" applyFont="1" applyFill="1" applyBorder="1" applyAlignment="1">
      <alignment horizontal="center" vertical="center" wrapText="1"/>
    </xf>
    <xf numFmtId="0" fontId="71" fillId="6" borderId="0" xfId="8" applyFont="1" applyFill="1"/>
    <xf numFmtId="0" fontId="47" fillId="6" borderId="0" xfId="10" applyFont="1" applyFill="1" applyBorder="1" applyAlignment="1">
      <alignment vertical="center"/>
    </xf>
    <xf numFmtId="0" fontId="4" fillId="6" borderId="0" xfId="8" applyFill="1"/>
    <xf numFmtId="0" fontId="4" fillId="6" borderId="0" xfId="8" applyFill="1" applyBorder="1"/>
    <xf numFmtId="0" fontId="20" fillId="6" borderId="0" xfId="8" applyFont="1" applyFill="1"/>
    <xf numFmtId="0" fontId="5" fillId="6" borderId="0" xfId="8" applyFont="1" applyFill="1"/>
    <xf numFmtId="0" fontId="5" fillId="6" borderId="0" xfId="8" applyFont="1" applyFill="1" applyBorder="1"/>
    <xf numFmtId="168" fontId="74" fillId="6" borderId="0" xfId="8" applyNumberFormat="1" applyFont="1" applyFill="1" applyBorder="1"/>
    <xf numFmtId="0" fontId="5" fillId="6" borderId="3" xfId="8" applyFont="1" applyFill="1" applyBorder="1"/>
    <xf numFmtId="0" fontId="5" fillId="6" borderId="0" xfId="8" applyFont="1" applyFill="1" applyBorder="1" applyAlignment="1">
      <alignment vertical="top" wrapText="1"/>
    </xf>
    <xf numFmtId="0" fontId="5" fillId="10" borderId="3" xfId="8" applyFont="1" applyFill="1" applyBorder="1"/>
    <xf numFmtId="0" fontId="5" fillId="10" borderId="0" xfId="8" applyFont="1" applyFill="1" applyBorder="1"/>
    <xf numFmtId="0" fontId="5" fillId="10" borderId="9" xfId="8" applyFont="1" applyFill="1" applyBorder="1"/>
    <xf numFmtId="168" fontId="5" fillId="10" borderId="0" xfId="2" applyNumberFormat="1" applyFont="1" applyFill="1" applyBorder="1"/>
    <xf numFmtId="168" fontId="74" fillId="10" borderId="0" xfId="8" applyNumberFormat="1" applyFont="1" applyFill="1" applyBorder="1"/>
    <xf numFmtId="168" fontId="5" fillId="10" borderId="0" xfId="8" applyNumberFormat="1" applyFont="1" applyFill="1" applyBorder="1"/>
    <xf numFmtId="0" fontId="5" fillId="10" borderId="5" xfId="8" applyFont="1" applyFill="1" applyBorder="1"/>
    <xf numFmtId="0" fontId="5" fillId="10" borderId="4" xfId="8" applyFont="1" applyFill="1" applyBorder="1"/>
    <xf numFmtId="0" fontId="5" fillId="10" borderId="10" xfId="8" applyFont="1" applyFill="1" applyBorder="1"/>
    <xf numFmtId="0" fontId="79" fillId="4" borderId="15" xfId="0" applyFont="1" applyFill="1" applyBorder="1"/>
    <xf numFmtId="0" fontId="55" fillId="4" borderId="16" xfId="0" applyFont="1" applyFill="1" applyBorder="1"/>
    <xf numFmtId="0" fontId="34" fillId="4" borderId="16" xfId="0" applyFont="1" applyFill="1" applyBorder="1"/>
    <xf numFmtId="0" fontId="34" fillId="4" borderId="17" xfId="0" applyFont="1" applyFill="1" applyBorder="1"/>
    <xf numFmtId="0" fontId="34" fillId="4" borderId="18" xfId="0" applyFont="1" applyFill="1" applyBorder="1"/>
    <xf numFmtId="0" fontId="34" fillId="4" borderId="0" xfId="0" applyFont="1" applyFill="1" applyBorder="1"/>
    <xf numFmtId="0" fontId="34" fillId="4" borderId="19" xfId="0" applyFont="1" applyFill="1" applyBorder="1"/>
    <xf numFmtId="0" fontId="34" fillId="4" borderId="18" xfId="0" applyFont="1" applyFill="1" applyBorder="1" applyAlignment="1">
      <alignment horizontal="right"/>
    </xf>
    <xf numFmtId="0" fontId="34" fillId="4" borderId="20" xfId="0" applyFont="1" applyFill="1" applyBorder="1" applyAlignment="1">
      <alignment horizontal="right" vertical="top"/>
    </xf>
    <xf numFmtId="0" fontId="5" fillId="10" borderId="0" xfId="8" applyFont="1" applyFill="1" applyBorder="1" applyAlignment="1">
      <alignment horizontal="center" vertical="center"/>
    </xf>
    <xf numFmtId="166" fontId="80" fillId="10" borderId="9" xfId="2" applyNumberFormat="1" applyFont="1" applyFill="1" applyBorder="1"/>
    <xf numFmtId="166" fontId="80" fillId="10" borderId="9" xfId="2" applyNumberFormat="1" applyFont="1" applyFill="1" applyBorder="1" applyAlignment="1">
      <alignment horizontal="center" vertical="center"/>
    </xf>
    <xf numFmtId="0" fontId="5" fillId="10" borderId="9" xfId="8" applyFont="1" applyFill="1" applyBorder="1" applyAlignment="1">
      <alignment vertical="top" wrapText="1"/>
    </xf>
    <xf numFmtId="168" fontId="5" fillId="9" borderId="0" xfId="2" applyNumberFormat="1" applyFont="1" applyFill="1" applyBorder="1" applyAlignment="1">
      <alignment horizontal="center" vertical="center"/>
    </xf>
    <xf numFmtId="168" fontId="46" fillId="9" borderId="39" xfId="8" applyNumberFormat="1" applyFont="1" applyFill="1" applyBorder="1" applyAlignment="1">
      <alignment horizontal="center" vertical="center" wrapText="1"/>
    </xf>
    <xf numFmtId="168" fontId="5" fillId="9" borderId="0" xfId="8" applyNumberFormat="1" applyFont="1" applyFill="1" applyBorder="1" applyAlignment="1">
      <alignment horizontal="center" vertical="center"/>
    </xf>
    <xf numFmtId="168" fontId="46" fillId="9" borderId="9" xfId="8" applyNumberFormat="1" applyFont="1" applyFill="1" applyBorder="1" applyAlignment="1">
      <alignment horizontal="center" vertical="center" wrapText="1"/>
    </xf>
    <xf numFmtId="166" fontId="46" fillId="9" borderId="9" xfId="2" applyNumberFormat="1" applyFont="1" applyFill="1" applyBorder="1" applyAlignment="1">
      <alignment horizontal="center" vertical="center" wrapText="1"/>
    </xf>
    <xf numFmtId="168" fontId="5" fillId="9" borderId="4" xfId="2" applyNumberFormat="1" applyFont="1" applyFill="1" applyBorder="1" applyAlignment="1">
      <alignment horizontal="center" vertical="center"/>
    </xf>
    <xf numFmtId="166" fontId="46" fillId="9" borderId="10" xfId="2" applyNumberFormat="1" applyFont="1" applyFill="1" applyBorder="1" applyAlignment="1">
      <alignment horizontal="center" vertical="center" wrapText="1"/>
    </xf>
    <xf numFmtId="0" fontId="3" fillId="6" borderId="0" xfId="0" applyFont="1" applyFill="1" applyProtection="1"/>
    <xf numFmtId="0" fontId="22" fillId="6" borderId="0" xfId="0" applyFont="1" applyFill="1" applyProtection="1"/>
    <xf numFmtId="0" fontId="9" fillId="6" borderId="0" xfId="0" applyFont="1" applyFill="1" applyAlignment="1" applyProtection="1">
      <alignment horizontal="center"/>
    </xf>
    <xf numFmtId="3" fontId="3" fillId="6" borderId="0" xfId="0" applyNumberFormat="1" applyFont="1" applyFill="1" applyAlignment="1" applyProtection="1">
      <alignment horizontal="center"/>
    </xf>
    <xf numFmtId="166" fontId="3" fillId="6" borderId="0" xfId="2" applyNumberFormat="1" applyFont="1" applyFill="1" applyAlignment="1" applyProtection="1">
      <alignment horizontal="center"/>
    </xf>
    <xf numFmtId="168" fontId="3" fillId="6" borderId="0" xfId="0" applyNumberFormat="1" applyFont="1" applyFill="1" applyAlignment="1" applyProtection="1">
      <alignment horizontal="center"/>
    </xf>
    <xf numFmtId="168" fontId="3" fillId="6" borderId="0" xfId="0" applyNumberFormat="1" applyFont="1" applyFill="1" applyBorder="1" applyProtection="1"/>
    <xf numFmtId="0" fontId="3" fillId="6" borderId="0" xfId="0" applyFont="1" applyFill="1" applyBorder="1" applyProtection="1"/>
    <xf numFmtId="0" fontId="3" fillId="6" borderId="0" xfId="0" applyFont="1" applyFill="1" applyAlignment="1" applyProtection="1">
      <alignment horizontal="center"/>
    </xf>
    <xf numFmtId="37" fontId="3" fillId="6" borderId="0" xfId="0" applyNumberFormat="1" applyFont="1" applyFill="1" applyProtection="1"/>
    <xf numFmtId="166" fontId="3" fillId="6" borderId="0" xfId="2" applyNumberFormat="1" applyFont="1" applyFill="1" applyProtection="1"/>
    <xf numFmtId="168" fontId="3" fillId="6" borderId="0" xfId="0" applyNumberFormat="1" applyFont="1" applyFill="1" applyProtection="1"/>
    <xf numFmtId="0" fontId="10" fillId="6" borderId="0" xfId="0" applyFont="1" applyFill="1" applyBorder="1" applyProtection="1"/>
    <xf numFmtId="0" fontId="3" fillId="6" borderId="0" xfId="0" applyFont="1" applyFill="1" applyAlignment="1" applyProtection="1">
      <alignment wrapText="1"/>
    </xf>
    <xf numFmtId="3" fontId="3" fillId="6" borderId="0" xfId="0" applyNumberFormat="1" applyFont="1" applyFill="1" applyBorder="1" applyProtection="1"/>
    <xf numFmtId="168" fontId="3" fillId="6" borderId="0" xfId="0" applyNumberFormat="1" applyFont="1" applyFill="1" applyBorder="1" applyAlignment="1" applyProtection="1"/>
    <xf numFmtId="0" fontId="3" fillId="6" borderId="0" xfId="0" applyFont="1" applyFill="1" applyBorder="1" applyAlignment="1" applyProtection="1">
      <alignment horizontal="center"/>
    </xf>
    <xf numFmtId="0" fontId="5" fillId="6" borderId="0" xfId="0" applyFont="1" applyFill="1" applyProtection="1"/>
    <xf numFmtId="0" fontId="5" fillId="6" borderId="0" xfId="0" applyFont="1" applyFill="1" applyBorder="1" applyProtection="1"/>
    <xf numFmtId="0" fontId="20" fillId="6" borderId="0" xfId="0" applyFont="1" applyFill="1" applyBorder="1" applyProtection="1"/>
    <xf numFmtId="0" fontId="5" fillId="6" borderId="0" xfId="0" applyFont="1" applyFill="1" applyBorder="1" applyAlignment="1" applyProtection="1">
      <alignment wrapText="1"/>
    </xf>
    <xf numFmtId="0" fontId="5" fillId="6" borderId="0" xfId="0" applyFont="1" applyFill="1" applyAlignment="1" applyProtection="1">
      <alignment wrapText="1"/>
    </xf>
    <xf numFmtId="168" fontId="5" fillId="6" borderId="0" xfId="0" applyNumberFormat="1" applyFont="1" applyFill="1" applyBorder="1" applyProtection="1"/>
    <xf numFmtId="0" fontId="5" fillId="6" borderId="11" xfId="0" applyFont="1" applyFill="1" applyBorder="1" applyProtection="1"/>
    <xf numFmtId="0" fontId="81" fillId="6" borderId="0" xfId="0" applyFont="1" applyFill="1" applyAlignment="1" applyProtection="1">
      <alignment vertical="top" wrapText="1"/>
    </xf>
    <xf numFmtId="166" fontId="5" fillId="6" borderId="0" xfId="2" applyNumberFormat="1" applyFont="1" applyFill="1" applyBorder="1" applyProtection="1"/>
    <xf numFmtId="3" fontId="5" fillId="6" borderId="0" xfId="0" applyNumberFormat="1" applyFont="1" applyFill="1" applyBorder="1" applyProtection="1"/>
    <xf numFmtId="168" fontId="5" fillId="6" borderId="0" xfId="0" applyNumberFormat="1" applyFont="1" applyFill="1" applyProtection="1"/>
    <xf numFmtId="168" fontId="5" fillId="6" borderId="0" xfId="0" applyNumberFormat="1" applyFont="1" applyFill="1" applyAlignment="1" applyProtection="1">
      <alignment wrapText="1"/>
    </xf>
    <xf numFmtId="168" fontId="5" fillId="6" borderId="6" xfId="0" applyNumberFormat="1" applyFont="1" applyFill="1" applyBorder="1" applyAlignment="1" applyProtection="1"/>
    <xf numFmtId="168" fontId="5" fillId="6" borderId="7" xfId="0" applyNumberFormat="1" applyFont="1" applyFill="1" applyBorder="1" applyAlignment="1" applyProtection="1"/>
    <xf numFmtId="168" fontId="5" fillId="6" borderId="3" xfId="0" applyNumberFormat="1" applyFont="1" applyFill="1" applyBorder="1" applyAlignment="1" applyProtection="1"/>
    <xf numFmtId="9" fontId="5" fillId="6" borderId="9" xfId="2" applyFont="1" applyFill="1" applyBorder="1" applyAlignment="1" applyProtection="1"/>
    <xf numFmtId="168" fontId="5" fillId="6" borderId="5" xfId="0" applyNumberFormat="1" applyFont="1" applyFill="1" applyBorder="1" applyAlignment="1" applyProtection="1"/>
    <xf numFmtId="9" fontId="5" fillId="6" borderId="10" xfId="2" applyFont="1" applyFill="1" applyBorder="1" applyAlignment="1" applyProtection="1"/>
    <xf numFmtId="168" fontId="5" fillId="6" borderId="0" xfId="0" applyNumberFormat="1" applyFont="1" applyFill="1" applyBorder="1" applyAlignment="1" applyProtection="1"/>
    <xf numFmtId="0" fontId="5" fillId="6" borderId="0" xfId="0" applyFont="1" applyFill="1" applyBorder="1" applyAlignment="1" applyProtection="1">
      <alignment horizontal="center"/>
    </xf>
    <xf numFmtId="0" fontId="5" fillId="6" borderId="0" xfId="0" applyFont="1" applyFill="1" applyAlignment="1" applyProtection="1">
      <alignment vertical="top" wrapText="1"/>
    </xf>
    <xf numFmtId="0" fontId="3" fillId="6" borderId="0" xfId="0" applyFont="1" applyFill="1" applyAlignment="1" applyProtection="1">
      <alignment vertical="top"/>
    </xf>
    <xf numFmtId="0" fontId="20" fillId="6" borderId="0" xfId="0" applyFont="1" applyFill="1" applyBorder="1" applyAlignment="1" applyProtection="1">
      <alignment horizontal="center"/>
    </xf>
    <xf numFmtId="0" fontId="10" fillId="6" borderId="0" xfId="0" applyFont="1" applyFill="1" applyProtection="1"/>
    <xf numFmtId="0" fontId="5" fillId="10" borderId="0" xfId="0" applyFont="1" applyFill="1" applyBorder="1" applyProtection="1"/>
    <xf numFmtId="0" fontId="5" fillId="10" borderId="9" xfId="0" applyFont="1" applyFill="1" applyBorder="1" applyProtection="1"/>
    <xf numFmtId="0" fontId="5" fillId="10" borderId="3" xfId="0" applyFont="1" applyFill="1" applyBorder="1" applyProtection="1"/>
    <xf numFmtId="168" fontId="5" fillId="10" borderId="0" xfId="0" applyNumberFormat="1" applyFont="1" applyFill="1" applyBorder="1" applyProtection="1"/>
    <xf numFmtId="0" fontId="5" fillId="10" borderId="3" xfId="0" applyFont="1" applyFill="1" applyBorder="1" applyAlignment="1" applyProtection="1">
      <alignment vertical="top" wrapText="1"/>
    </xf>
    <xf numFmtId="0" fontId="5" fillId="10" borderId="0" xfId="0" applyFont="1" applyFill="1" applyBorder="1" applyAlignment="1" applyProtection="1">
      <alignment vertical="top" wrapText="1"/>
    </xf>
    <xf numFmtId="0" fontId="5" fillId="10" borderId="9" xfId="0" applyFont="1" applyFill="1" applyBorder="1" applyAlignment="1" applyProtection="1">
      <alignment vertical="top" wrapText="1"/>
    </xf>
    <xf numFmtId="0" fontId="81" fillId="10" borderId="5" xfId="0" applyFont="1" applyFill="1" applyBorder="1" applyAlignment="1" applyProtection="1">
      <alignment vertical="top"/>
    </xf>
    <xf numFmtId="0" fontId="5" fillId="10" borderId="4" xfId="0" applyFont="1" applyFill="1" applyBorder="1" applyProtection="1"/>
    <xf numFmtId="0" fontId="81" fillId="10" borderId="4" xfId="0" applyFont="1" applyFill="1" applyBorder="1" applyAlignment="1" applyProtection="1">
      <alignment vertical="top" wrapText="1"/>
    </xf>
    <xf numFmtId="0" fontId="81" fillId="10" borderId="10" xfId="0" applyFont="1" applyFill="1" applyBorder="1" applyAlignment="1" applyProtection="1">
      <alignment vertical="top" wrapText="1"/>
    </xf>
    <xf numFmtId="0" fontId="34" fillId="10" borderId="3" xfId="0" applyFont="1" applyFill="1" applyBorder="1" applyProtection="1"/>
    <xf numFmtId="0" fontId="5" fillId="9" borderId="3" xfId="0" applyFont="1" applyFill="1" applyBorder="1" applyProtection="1"/>
    <xf numFmtId="168" fontId="5" fillId="9" borderId="0" xfId="0" applyNumberFormat="1" applyFont="1" applyFill="1" applyBorder="1" applyProtection="1"/>
    <xf numFmtId="0" fontId="73" fillId="10" borderId="9" xfId="0" applyFont="1" applyFill="1" applyBorder="1" applyAlignment="1" applyProtection="1">
      <alignment wrapText="1"/>
    </xf>
    <xf numFmtId="168" fontId="5" fillId="10" borderId="9" xfId="0" applyNumberFormat="1" applyFont="1" applyFill="1" applyBorder="1" applyProtection="1"/>
    <xf numFmtId="0" fontId="5" fillId="10" borderId="5" xfId="0" applyFont="1" applyFill="1" applyBorder="1" applyProtection="1"/>
    <xf numFmtId="0" fontId="5" fillId="9" borderId="36" xfId="0" applyFont="1" applyFill="1" applyBorder="1" applyAlignment="1" applyProtection="1">
      <alignment wrapText="1"/>
    </xf>
    <xf numFmtId="0" fontId="5" fillId="9" borderId="33" xfId="0" applyFont="1" applyFill="1" applyBorder="1" applyAlignment="1" applyProtection="1">
      <alignment horizontal="center" vertical="center" wrapText="1"/>
    </xf>
    <xf numFmtId="0" fontId="5" fillId="9" borderId="34" xfId="0" applyFont="1" applyFill="1" applyBorder="1" applyAlignment="1" applyProtection="1">
      <alignment horizontal="center" vertical="center" wrapText="1"/>
    </xf>
    <xf numFmtId="0" fontId="5" fillId="9" borderId="0" xfId="0" applyFont="1" applyFill="1" applyBorder="1" applyProtection="1"/>
    <xf numFmtId="0" fontId="5" fillId="9" borderId="5" xfId="0" applyFont="1" applyFill="1" applyBorder="1" applyProtection="1"/>
    <xf numFmtId="0" fontId="5" fillId="9" borderId="36" xfId="0" applyFont="1" applyFill="1" applyBorder="1" applyProtection="1"/>
    <xf numFmtId="168" fontId="5" fillId="9" borderId="9" xfId="0" applyNumberFormat="1" applyFont="1" applyFill="1" applyBorder="1" applyProtection="1"/>
    <xf numFmtId="168" fontId="5" fillId="9" borderId="4" xfId="0" applyNumberFormat="1" applyFont="1" applyFill="1" applyBorder="1" applyProtection="1"/>
    <xf numFmtId="168" fontId="5" fillId="9" borderId="10" xfId="0" applyNumberFormat="1" applyFont="1" applyFill="1" applyBorder="1" applyProtection="1"/>
    <xf numFmtId="3" fontId="5" fillId="10" borderId="9" xfId="0" applyNumberFormat="1" applyFont="1" applyFill="1" applyBorder="1" applyProtection="1"/>
    <xf numFmtId="0" fontId="3" fillId="10" borderId="0" xfId="0" applyFont="1" applyFill="1" applyBorder="1" applyProtection="1"/>
    <xf numFmtId="0" fontId="20" fillId="9" borderId="3" xfId="0" applyFont="1" applyFill="1" applyBorder="1" applyProtection="1"/>
    <xf numFmtId="0" fontId="5" fillId="9" borderId="5" xfId="0" applyFont="1" applyFill="1" applyBorder="1" applyAlignment="1" applyProtection="1">
      <alignment horizontal="center"/>
    </xf>
    <xf numFmtId="0" fontId="5" fillId="9" borderId="4" xfId="0" applyFont="1" applyFill="1" applyBorder="1" applyProtection="1"/>
    <xf numFmtId="37" fontId="20" fillId="9" borderId="36" xfId="0" applyNumberFormat="1" applyFont="1" applyFill="1" applyBorder="1" applyAlignment="1" applyProtection="1">
      <alignment horizontal="right" vertical="center"/>
    </xf>
    <xf numFmtId="0" fontId="5" fillId="9" borderId="0" xfId="0" applyFont="1" applyFill="1" applyBorder="1" applyAlignment="1" applyProtection="1">
      <alignment horizontal="center" vertical="center"/>
    </xf>
    <xf numFmtId="166" fontId="5" fillId="9" borderId="0" xfId="2" applyNumberFormat="1" applyFont="1" applyFill="1" applyBorder="1" applyAlignment="1" applyProtection="1">
      <alignment horizontal="center"/>
    </xf>
    <xf numFmtId="166" fontId="5" fillId="9" borderId="9" xfId="2" applyNumberFormat="1" applyFont="1" applyFill="1" applyBorder="1" applyAlignment="1" applyProtection="1">
      <alignment horizontal="center"/>
    </xf>
    <xf numFmtId="0" fontId="82" fillId="9" borderId="0" xfId="0" applyFont="1" applyFill="1" applyBorder="1" applyProtection="1"/>
    <xf numFmtId="0" fontId="5" fillId="9" borderId="9" xfId="0" applyFont="1" applyFill="1" applyBorder="1" applyProtection="1"/>
    <xf numFmtId="3" fontId="5" fillId="9" borderId="0" xfId="0" applyNumberFormat="1" applyFont="1" applyFill="1" applyBorder="1" applyProtection="1"/>
    <xf numFmtId="3" fontId="5" fillId="9" borderId="9" xfId="0" applyNumberFormat="1" applyFont="1" applyFill="1" applyBorder="1" applyProtection="1"/>
    <xf numFmtId="168" fontId="5" fillId="9" borderId="0" xfId="0" applyNumberFormat="1" applyFont="1" applyFill="1" applyBorder="1" applyAlignment="1" applyProtection="1">
      <alignment horizontal="center"/>
    </xf>
    <xf numFmtId="0" fontId="73" fillId="10" borderId="9" xfId="0" applyFont="1" applyFill="1" applyBorder="1" applyProtection="1"/>
    <xf numFmtId="0" fontId="8" fillId="6" borderId="0" xfId="0" applyFont="1" applyFill="1" applyProtection="1"/>
    <xf numFmtId="168" fontId="8" fillId="6" borderId="0" xfId="0" applyNumberFormat="1" applyFont="1" applyFill="1" applyProtection="1"/>
    <xf numFmtId="0" fontId="38" fillId="6" borderId="0" xfId="0" applyFont="1" applyFill="1" applyProtection="1"/>
    <xf numFmtId="0" fontId="38" fillId="6" borderId="0" xfId="0" applyFont="1" applyFill="1" applyAlignment="1" applyProtection="1">
      <alignment vertical="top"/>
    </xf>
    <xf numFmtId="0" fontId="8" fillId="6" borderId="0" xfId="0" applyFont="1" applyFill="1" applyAlignment="1" applyProtection="1">
      <alignment vertical="top"/>
    </xf>
    <xf numFmtId="0" fontId="38" fillId="6" borderId="0" xfId="0" applyFont="1" applyFill="1" applyAlignment="1" applyProtection="1">
      <alignment wrapText="1"/>
    </xf>
    <xf numFmtId="0" fontId="8" fillId="6" borderId="0" xfId="0" applyFont="1" applyFill="1" applyAlignment="1" applyProtection="1">
      <alignment wrapText="1"/>
    </xf>
    <xf numFmtId="0" fontId="39" fillId="6" borderId="0" xfId="0" applyFont="1" applyFill="1" applyProtection="1"/>
    <xf numFmtId="0" fontId="12" fillId="6" borderId="0" xfId="0" applyFont="1" applyFill="1" applyProtection="1"/>
    <xf numFmtId="1" fontId="38" fillId="6" borderId="0" xfId="0" applyNumberFormat="1" applyFont="1" applyFill="1" applyProtection="1"/>
    <xf numFmtId="168" fontId="38" fillId="6" borderId="0" xfId="0" applyNumberFormat="1" applyFont="1" applyFill="1" applyProtection="1"/>
    <xf numFmtId="0" fontId="38" fillId="6" borderId="0" xfId="8" applyFont="1" applyFill="1" applyBorder="1"/>
    <xf numFmtId="166" fontId="38" fillId="6" borderId="0" xfId="2" applyNumberFormat="1" applyFont="1" applyFill="1" applyBorder="1"/>
    <xf numFmtId="166" fontId="74" fillId="6" borderId="0" xfId="2" applyNumberFormat="1" applyFont="1" applyFill="1" applyBorder="1"/>
    <xf numFmtId="0" fontId="5" fillId="6" borderId="0" xfId="8" applyFont="1" applyFill="1" applyAlignment="1">
      <alignment vertical="top" wrapText="1"/>
    </xf>
    <xf numFmtId="0" fontId="5" fillId="6" borderId="0" xfId="8" applyFont="1" applyFill="1" applyAlignment="1">
      <alignment vertical="center" wrapText="1"/>
    </xf>
    <xf numFmtId="0" fontId="5" fillId="9" borderId="0" xfId="8" applyFont="1" applyFill="1" applyBorder="1"/>
    <xf numFmtId="0" fontId="5" fillId="9" borderId="9" xfId="8" applyFont="1" applyFill="1" applyBorder="1"/>
    <xf numFmtId="0" fontId="5" fillId="9" borderId="3" xfId="8" applyFont="1" applyFill="1" applyBorder="1" applyAlignment="1">
      <alignment horizontal="left" wrapText="1"/>
    </xf>
    <xf numFmtId="168" fontId="5" fillId="9" borderId="9" xfId="2" applyNumberFormat="1" applyFont="1" applyFill="1" applyBorder="1" applyAlignment="1">
      <alignment horizontal="center" vertical="center"/>
    </xf>
    <xf numFmtId="168" fontId="5" fillId="9" borderId="9" xfId="8" applyNumberFormat="1" applyFont="1" applyFill="1" applyBorder="1" applyAlignment="1">
      <alignment horizontal="center" vertical="center"/>
    </xf>
    <xf numFmtId="0" fontId="5" fillId="9" borderId="3" xfId="8" applyFont="1" applyFill="1" applyBorder="1" applyAlignment="1">
      <alignment horizontal="left" vertical="center" wrapText="1"/>
    </xf>
    <xf numFmtId="0" fontId="5" fillId="9" borderId="5" xfId="8" applyFont="1" applyFill="1" applyBorder="1" applyAlignment="1">
      <alignment horizontal="left" vertical="center" wrapText="1"/>
    </xf>
    <xf numFmtId="166" fontId="5" fillId="9" borderId="0" xfId="2" applyNumberFormat="1" applyFont="1" applyFill="1" applyBorder="1" applyAlignment="1">
      <alignment horizontal="center" vertical="center"/>
    </xf>
    <xf numFmtId="166" fontId="5" fillId="9" borderId="9" xfId="2" applyNumberFormat="1" applyFont="1" applyFill="1" applyBorder="1" applyAlignment="1">
      <alignment horizontal="center" vertical="center"/>
    </xf>
    <xf numFmtId="166" fontId="5" fillId="9" borderId="4" xfId="2" applyNumberFormat="1" applyFont="1" applyFill="1" applyBorder="1" applyAlignment="1">
      <alignment horizontal="center" vertical="center"/>
    </xf>
    <xf numFmtId="166" fontId="5" fillId="9" borderId="10" xfId="2" applyNumberFormat="1" applyFont="1" applyFill="1" applyBorder="1" applyAlignment="1">
      <alignment horizontal="center" vertical="center"/>
    </xf>
    <xf numFmtId="0" fontId="5" fillId="10" borderId="0" xfId="8" applyFont="1" applyFill="1" applyBorder="1" applyAlignment="1">
      <alignment vertical="top" wrapText="1"/>
    </xf>
    <xf numFmtId="0" fontId="5" fillId="10" borderId="4" xfId="8" applyFont="1" applyFill="1" applyBorder="1" applyAlignment="1">
      <alignment vertical="top" wrapText="1"/>
    </xf>
    <xf numFmtId="0" fontId="5" fillId="10" borderId="10" xfId="8" applyFont="1" applyFill="1" applyBorder="1" applyAlignment="1">
      <alignment vertical="top" wrapText="1"/>
    </xf>
    <xf numFmtId="168" fontId="46" fillId="9" borderId="10" xfId="8" applyNumberFormat="1" applyFont="1" applyFill="1" applyBorder="1" applyAlignment="1">
      <alignment horizontal="center" vertical="center" wrapText="1"/>
    </xf>
    <xf numFmtId="0" fontId="20" fillId="9" borderId="36" xfId="8" applyFont="1" applyFill="1" applyBorder="1" applyAlignment="1">
      <alignment horizontal="center" vertical="center" wrapText="1"/>
    </xf>
    <xf numFmtId="0" fontId="20" fillId="9" borderId="33" xfId="8" applyFont="1" applyFill="1" applyBorder="1" applyAlignment="1">
      <alignment horizontal="center" vertical="center" wrapText="1"/>
    </xf>
    <xf numFmtId="0" fontId="45" fillId="9" borderId="34" xfId="8" applyFont="1" applyFill="1" applyBorder="1" applyAlignment="1">
      <alignment horizontal="center" vertical="center" wrapText="1"/>
    </xf>
    <xf numFmtId="0" fontId="3" fillId="6" borderId="0" xfId="8" applyFont="1" applyFill="1"/>
    <xf numFmtId="0" fontId="8" fillId="6" borderId="0" xfId="10" applyFont="1" applyFill="1" applyBorder="1" applyAlignment="1" applyProtection="1"/>
    <xf numFmtId="0" fontId="8" fillId="6" borderId="0" xfId="10" applyFont="1" applyFill="1" applyBorder="1" applyProtection="1"/>
    <xf numFmtId="0" fontId="3" fillId="6" borderId="0" xfId="10" applyFont="1" applyFill="1" applyBorder="1" applyProtection="1"/>
    <xf numFmtId="0" fontId="3" fillId="0" borderId="0" xfId="10" applyFont="1" applyFill="1" applyProtection="1"/>
    <xf numFmtId="0" fontId="3" fillId="3" borderId="16" xfId="10" applyFont="1" applyFill="1" applyBorder="1" applyProtection="1"/>
    <xf numFmtId="0" fontId="3" fillId="3" borderId="17" xfId="10" applyFont="1" applyFill="1" applyBorder="1" applyProtection="1"/>
    <xf numFmtId="0" fontId="3" fillId="3" borderId="18" xfId="10" applyFont="1" applyFill="1" applyBorder="1" applyProtection="1"/>
    <xf numFmtId="0" fontId="3" fillId="3" borderId="0" xfId="10" applyFont="1" applyFill="1" applyBorder="1" applyProtection="1"/>
    <xf numFmtId="0" fontId="19" fillId="3" borderId="0" xfId="10" applyFont="1" applyFill="1" applyBorder="1" applyProtection="1"/>
    <xf numFmtId="0" fontId="19" fillId="3" borderId="19" xfId="10" applyFont="1" applyFill="1" applyBorder="1" applyProtection="1"/>
    <xf numFmtId="0" fontId="20" fillId="3" borderId="18" xfId="10" applyFont="1" applyFill="1" applyBorder="1" applyProtection="1"/>
    <xf numFmtId="0" fontId="5" fillId="3" borderId="0" xfId="10" applyFont="1" applyFill="1" applyBorder="1" applyProtection="1"/>
    <xf numFmtId="0" fontId="50" fillId="3" borderId="0" xfId="10" applyFont="1" applyFill="1" applyBorder="1" applyProtection="1"/>
    <xf numFmtId="0" fontId="51" fillId="3" borderId="0" xfId="10" applyFont="1" applyFill="1" applyBorder="1" applyProtection="1"/>
    <xf numFmtId="0" fontId="19" fillId="3" borderId="0" xfId="10" applyFont="1" applyFill="1" applyBorder="1" applyAlignment="1" applyProtection="1">
      <alignment horizontal="center"/>
    </xf>
    <xf numFmtId="0" fontId="20" fillId="3" borderId="18" xfId="10" applyFont="1" applyFill="1" applyBorder="1" applyAlignment="1" applyProtection="1">
      <alignment wrapText="1"/>
    </xf>
    <xf numFmtId="0" fontId="3" fillId="3" borderId="20" xfId="10" applyFont="1" applyFill="1" applyBorder="1" applyProtection="1"/>
    <xf numFmtId="0" fontId="3" fillId="3" borderId="21" xfId="10" applyFont="1" applyFill="1" applyBorder="1" applyProtection="1"/>
    <xf numFmtId="0" fontId="24" fillId="3" borderId="21" xfId="10" applyFont="1" applyFill="1" applyBorder="1" applyProtection="1"/>
    <xf numFmtId="0" fontId="19" fillId="3" borderId="21" xfId="10" applyFont="1" applyFill="1" applyBorder="1" applyProtection="1"/>
    <xf numFmtId="0" fontId="19" fillId="3" borderId="22" xfId="10" applyFont="1" applyFill="1" applyBorder="1" applyProtection="1"/>
    <xf numFmtId="0" fontId="3" fillId="0" borderId="0" xfId="10" applyFont="1" applyFill="1" applyBorder="1" applyProtection="1"/>
    <xf numFmtId="0" fontId="19" fillId="0" borderId="0" xfId="10" applyFont="1" applyFill="1" applyBorder="1" applyProtection="1"/>
    <xf numFmtId="0" fontId="19" fillId="0" borderId="0" xfId="10" applyFont="1" applyFill="1" applyProtection="1"/>
    <xf numFmtId="0" fontId="3" fillId="0" borderId="0" xfId="10" applyFont="1" applyFill="1" applyBorder="1" applyAlignment="1" applyProtection="1">
      <alignment horizontal="right"/>
    </xf>
    <xf numFmtId="0" fontId="49" fillId="3" borderId="15" xfId="0" applyFont="1" applyFill="1" applyBorder="1" applyAlignment="1" applyProtection="1">
      <alignment vertical="top"/>
    </xf>
    <xf numFmtId="0" fontId="19" fillId="3" borderId="16" xfId="10" applyFont="1" applyFill="1" applyBorder="1" applyProtection="1"/>
    <xf numFmtId="0" fontId="19" fillId="3" borderId="17" xfId="10" applyFont="1" applyFill="1" applyBorder="1" applyProtection="1"/>
    <xf numFmtId="0" fontId="8" fillId="0" borderId="0" xfId="10" applyFont="1" applyFill="1" applyProtection="1"/>
    <xf numFmtId="0" fontId="75" fillId="0" borderId="0" xfId="10" applyFont="1" applyFill="1" applyProtection="1"/>
    <xf numFmtId="0" fontId="34" fillId="0" borderId="0" xfId="10" applyFont="1" applyFill="1" applyProtection="1"/>
    <xf numFmtId="0" fontId="34" fillId="3" borderId="18" xfId="0" applyFont="1" applyFill="1" applyBorder="1" applyAlignment="1" applyProtection="1">
      <alignment vertical="center"/>
    </xf>
    <xf numFmtId="0" fontId="34" fillId="3" borderId="0" xfId="10" applyFont="1" applyFill="1" applyBorder="1" applyProtection="1"/>
    <xf numFmtId="0" fontId="34" fillId="3" borderId="19" xfId="10" applyFont="1" applyFill="1" applyBorder="1" applyProtection="1"/>
    <xf numFmtId="0" fontId="21" fillId="3" borderId="18" xfId="0" applyFont="1" applyFill="1" applyBorder="1" applyAlignment="1" applyProtection="1">
      <alignment vertical="center"/>
    </xf>
    <xf numFmtId="0" fontId="75" fillId="0" borderId="0" xfId="10" applyFont="1" applyFill="1" applyAlignment="1" applyProtection="1">
      <alignment horizontal="center" vertical="center" wrapText="1"/>
    </xf>
    <xf numFmtId="0" fontId="10" fillId="3" borderId="18" xfId="10" applyFont="1" applyFill="1" applyBorder="1" applyProtection="1"/>
    <xf numFmtId="0" fontId="10" fillId="3" borderId="0" xfId="10" applyFont="1" applyFill="1" applyBorder="1" applyProtection="1"/>
    <xf numFmtId="0" fontId="3" fillId="3" borderId="19" xfId="10" applyFont="1" applyFill="1" applyBorder="1" applyProtection="1"/>
    <xf numFmtId="0" fontId="8" fillId="0" borderId="0" xfId="10" applyFont="1" applyFill="1" applyAlignment="1" applyProtection="1">
      <alignment horizontal="center"/>
    </xf>
    <xf numFmtId="165" fontId="8" fillId="0" borderId="0" xfId="10" applyNumberFormat="1" applyFont="1" applyFill="1" applyProtection="1"/>
    <xf numFmtId="0" fontId="5" fillId="9" borderId="26" xfId="10" applyFont="1" applyFill="1" applyBorder="1" applyAlignment="1" applyProtection="1">
      <alignment horizontal="center"/>
    </xf>
    <xf numFmtId="0" fontId="5" fillId="9" borderId="27" xfId="10" applyFont="1" applyFill="1" applyBorder="1" applyProtection="1"/>
    <xf numFmtId="0" fontId="5" fillId="9" borderId="27" xfId="10" applyFont="1" applyFill="1" applyBorder="1" applyAlignment="1" applyProtection="1">
      <alignment horizontal="left"/>
    </xf>
    <xf numFmtId="0" fontId="5" fillId="9" borderId="28" xfId="10" applyFont="1" applyFill="1" applyBorder="1" applyProtection="1"/>
    <xf numFmtId="0" fontId="5" fillId="9" borderId="18" xfId="10" applyFont="1" applyFill="1" applyBorder="1" applyAlignment="1" applyProtection="1">
      <alignment horizontal="center"/>
    </xf>
    <xf numFmtId="0" fontId="5" fillId="9" borderId="0" xfId="10" applyFont="1" applyFill="1" applyBorder="1" applyAlignment="1" applyProtection="1">
      <alignment horizontal="center"/>
    </xf>
    <xf numFmtId="0" fontId="5" fillId="9" borderId="19" xfId="10" applyFont="1" applyFill="1" applyBorder="1" applyProtection="1"/>
    <xf numFmtId="0" fontId="5" fillId="9" borderId="20" xfId="10" applyFont="1" applyFill="1" applyBorder="1" applyAlignment="1" applyProtection="1">
      <alignment horizontal="center"/>
    </xf>
    <xf numFmtId="0" fontId="5" fillId="9" borderId="21" xfId="10" applyFont="1" applyFill="1" applyBorder="1" applyAlignment="1" applyProtection="1">
      <alignment horizontal="center"/>
    </xf>
    <xf numFmtId="0" fontId="5" fillId="9" borderId="22" xfId="10" applyFont="1" applyFill="1" applyBorder="1" applyProtection="1"/>
    <xf numFmtId="165" fontId="3" fillId="3" borderId="0" xfId="10" applyNumberFormat="1" applyFont="1" applyFill="1" applyBorder="1" applyAlignment="1" applyProtection="1">
      <alignment horizontal="center"/>
    </xf>
    <xf numFmtId="0" fontId="3" fillId="3" borderId="0" xfId="10" applyNumberFormat="1" applyFont="1" applyFill="1" applyBorder="1" applyAlignment="1" applyProtection="1">
      <alignment horizontal="center"/>
    </xf>
    <xf numFmtId="0" fontId="3" fillId="3" borderId="25" xfId="10" applyFont="1" applyFill="1" applyBorder="1" applyProtection="1"/>
    <xf numFmtId="0" fontId="5" fillId="9" borderId="26" xfId="10" applyFont="1" applyFill="1" applyBorder="1" applyAlignment="1" applyProtection="1">
      <alignment horizontal="center" vertical="center" wrapText="1"/>
    </xf>
    <xf numFmtId="0" fontId="19" fillId="3" borderId="19" xfId="10" applyFont="1" applyFill="1" applyBorder="1" applyAlignment="1" applyProtection="1">
      <alignment horizontal="center" wrapText="1"/>
    </xf>
    <xf numFmtId="0" fontId="8" fillId="0" borderId="0" xfId="10" applyFont="1" applyFill="1" applyAlignment="1" applyProtection="1">
      <alignment wrapText="1"/>
    </xf>
    <xf numFmtId="0" fontId="3" fillId="0" borderId="0" xfId="10" applyFont="1" applyFill="1" applyAlignment="1" applyProtection="1">
      <alignment wrapText="1"/>
    </xf>
    <xf numFmtId="0" fontId="5" fillId="9" borderId="0" xfId="10" applyFont="1" applyFill="1" applyBorder="1" applyAlignment="1" applyProtection="1">
      <alignment horizontal="center" vertical="center" wrapText="1"/>
    </xf>
    <xf numFmtId="0" fontId="5" fillId="9" borderId="21" xfId="10" applyFont="1" applyFill="1" applyBorder="1" applyProtection="1"/>
    <xf numFmtId="0" fontId="3" fillId="3" borderId="20" xfId="10" applyFont="1" applyFill="1" applyBorder="1" applyAlignment="1" applyProtection="1">
      <alignment horizontal="center"/>
    </xf>
    <xf numFmtId="0" fontId="3" fillId="3" borderId="21" xfId="10" applyFont="1" applyFill="1" applyBorder="1" applyAlignment="1" applyProtection="1">
      <alignment horizontal="center"/>
    </xf>
    <xf numFmtId="165" fontId="3" fillId="3" borderId="21" xfId="10" applyNumberFormat="1" applyFont="1" applyFill="1" applyBorder="1" applyProtection="1"/>
    <xf numFmtId="3" fontId="8" fillId="0" borderId="0" xfId="10" applyNumberFormat="1" applyFont="1" applyFill="1" applyAlignment="1" applyProtection="1">
      <alignment horizontal="center"/>
    </xf>
    <xf numFmtId="3" fontId="8" fillId="0" borderId="0" xfId="10" applyNumberFormat="1" applyFont="1" applyFill="1" applyProtection="1"/>
    <xf numFmtId="0" fontId="3" fillId="0" borderId="0" xfId="10" applyFont="1" applyFill="1" applyAlignment="1" applyProtection="1">
      <alignment horizontal="center" vertical="center" wrapText="1"/>
    </xf>
    <xf numFmtId="0" fontId="19" fillId="0" borderId="0" xfId="10" applyFont="1" applyFill="1" applyAlignment="1" applyProtection="1">
      <alignment horizontal="center" vertical="center" wrapText="1"/>
    </xf>
    <xf numFmtId="0" fontId="8" fillId="0" borderId="0" xfId="10" applyFont="1" applyFill="1" applyAlignment="1" applyProtection="1">
      <alignment horizontal="center" vertical="center" wrapText="1"/>
    </xf>
    <xf numFmtId="0" fontId="30" fillId="3" borderId="16" xfId="10" applyFont="1" applyFill="1" applyBorder="1" applyProtection="1"/>
    <xf numFmtId="0" fontId="52" fillId="3" borderId="17" xfId="10" applyFont="1" applyFill="1" applyBorder="1" applyProtection="1"/>
    <xf numFmtId="0" fontId="76" fillId="0" borderId="0" xfId="10" applyFont="1" applyFill="1" applyProtection="1"/>
    <xf numFmtId="3" fontId="76" fillId="0" borderId="0" xfId="10" applyNumberFormat="1" applyFont="1" applyFill="1" applyAlignment="1" applyProtection="1">
      <alignment horizontal="center"/>
    </xf>
    <xf numFmtId="165" fontId="76" fillId="0" borderId="0" xfId="10" applyNumberFormat="1" applyFont="1" applyFill="1" applyProtection="1"/>
    <xf numFmtId="3" fontId="76" fillId="0" borderId="0" xfId="10" applyNumberFormat="1" applyFont="1" applyFill="1" applyProtection="1"/>
    <xf numFmtId="0" fontId="30" fillId="0" borderId="0" xfId="10" applyFont="1" applyFill="1" applyProtection="1"/>
    <xf numFmtId="0" fontId="38" fillId="0" borderId="0" xfId="10" applyFont="1" applyFill="1" applyProtection="1"/>
    <xf numFmtId="0" fontId="5" fillId="0" borderId="0" xfId="10" applyFont="1" applyFill="1" applyProtection="1"/>
    <xf numFmtId="0" fontId="24" fillId="3" borderId="0" xfId="10" applyFont="1" applyFill="1" applyBorder="1" applyProtection="1"/>
    <xf numFmtId="9" fontId="24" fillId="3" borderId="0" xfId="2" applyFont="1" applyFill="1" applyBorder="1" applyProtection="1"/>
    <xf numFmtId="0" fontId="3" fillId="3" borderId="22" xfId="10" applyFont="1" applyFill="1" applyBorder="1" applyProtection="1"/>
    <xf numFmtId="0" fontId="8" fillId="0" borderId="0" xfId="10" applyFont="1" applyFill="1" applyAlignment="1" applyProtection="1"/>
    <xf numFmtId="0" fontId="3" fillId="0" borderId="0" xfId="10" applyFont="1" applyFill="1" applyAlignment="1" applyProtection="1"/>
    <xf numFmtId="0" fontId="56" fillId="6" borderId="0" xfId="10" applyFont="1" applyFill="1" applyAlignment="1" applyProtection="1">
      <alignment vertical="center"/>
    </xf>
    <xf numFmtId="0" fontId="8" fillId="6" borderId="0" xfId="10" applyFont="1" applyFill="1" applyProtection="1"/>
    <xf numFmtId="0" fontId="3" fillId="6" borderId="0" xfId="10" applyFont="1" applyFill="1" applyProtection="1"/>
    <xf numFmtId="0" fontId="24" fillId="6" borderId="0" xfId="10" applyFont="1" applyFill="1" applyBorder="1" applyProtection="1"/>
    <xf numFmtId="0" fontId="24" fillId="6" borderId="0" xfId="10" applyFont="1" applyFill="1" applyProtection="1"/>
    <xf numFmtId="0" fontId="24" fillId="3" borderId="22" xfId="10" applyFont="1" applyFill="1" applyBorder="1" applyProtection="1"/>
    <xf numFmtId="0" fontId="19" fillId="6" borderId="0" xfId="10" applyFont="1" applyFill="1" applyBorder="1" applyProtection="1"/>
    <xf numFmtId="0" fontId="19" fillId="6" borderId="0" xfId="10" applyFont="1" applyFill="1" applyProtection="1"/>
    <xf numFmtId="0" fontId="3" fillId="6" borderId="0" xfId="10" applyFont="1" applyFill="1" applyBorder="1" applyAlignment="1" applyProtection="1">
      <alignment horizontal="right"/>
    </xf>
    <xf numFmtId="0" fontId="24" fillId="3" borderId="19" xfId="10" applyFont="1" applyFill="1" applyBorder="1" applyProtection="1"/>
    <xf numFmtId="0" fontId="8" fillId="6" borderId="0" xfId="10" applyFont="1" applyFill="1" applyAlignment="1" applyProtection="1">
      <alignment horizontal="center" vertical="center" wrapText="1"/>
    </xf>
    <xf numFmtId="0" fontId="8" fillId="6" borderId="0" xfId="10" applyFont="1" applyFill="1" applyAlignment="1" applyProtection="1">
      <alignment horizontal="center"/>
    </xf>
    <xf numFmtId="165" fontId="8" fillId="6" borderId="0" xfId="10" applyNumberFormat="1" applyFont="1" applyFill="1" applyProtection="1"/>
    <xf numFmtId="0" fontId="5" fillId="9" borderId="18" xfId="10" applyFont="1" applyFill="1" applyBorder="1" applyAlignment="1" applyProtection="1">
      <alignment horizontal="center" vertical="center"/>
    </xf>
    <xf numFmtId="0" fontId="5" fillId="9" borderId="0" xfId="10" applyFont="1" applyFill="1" applyBorder="1" applyAlignment="1" applyProtection="1">
      <alignment horizontal="center" vertical="center"/>
    </xf>
    <xf numFmtId="0" fontId="5" fillId="9" borderId="19" xfId="10" applyFont="1" applyFill="1" applyBorder="1" applyAlignment="1" applyProtection="1">
      <alignment vertical="center"/>
    </xf>
    <xf numFmtId="0" fontId="5" fillId="9" borderId="20" xfId="10" applyFont="1" applyFill="1" applyBorder="1" applyAlignment="1" applyProtection="1">
      <alignment horizontal="center" vertical="center"/>
    </xf>
    <xf numFmtId="0" fontId="5" fillId="9" borderId="21" xfId="10" applyFont="1" applyFill="1" applyBorder="1" applyAlignment="1" applyProtection="1">
      <alignment horizontal="center" vertical="center"/>
    </xf>
    <xf numFmtId="0" fontId="5" fillId="9" borderId="22" xfId="10" applyFont="1" applyFill="1" applyBorder="1" applyAlignment="1" applyProtection="1">
      <alignment vertical="center"/>
    </xf>
    <xf numFmtId="0" fontId="24" fillId="3" borderId="19" xfId="10" applyFont="1" applyFill="1" applyBorder="1" applyAlignment="1" applyProtection="1">
      <alignment horizontal="center" wrapText="1"/>
    </xf>
    <xf numFmtId="0" fontId="8" fillId="6" borderId="0" xfId="10" applyFont="1" applyFill="1" applyAlignment="1" applyProtection="1">
      <alignment wrapText="1"/>
    </xf>
    <xf numFmtId="0" fontId="3" fillId="6" borderId="0" xfId="10" applyFont="1" applyFill="1" applyAlignment="1" applyProtection="1">
      <alignment wrapText="1"/>
    </xf>
    <xf numFmtId="3" fontId="8" fillId="6" borderId="0" xfId="10" applyNumberFormat="1" applyFont="1" applyFill="1" applyAlignment="1" applyProtection="1">
      <alignment horizontal="center"/>
    </xf>
    <xf numFmtId="3" fontId="8" fillId="6" borderId="0" xfId="10" applyNumberFormat="1" applyFont="1" applyFill="1" applyProtection="1"/>
    <xf numFmtId="0" fontId="3" fillId="6" borderId="0" xfId="10" applyFont="1" applyFill="1" applyAlignment="1" applyProtection="1">
      <alignment horizontal="center" vertical="center" wrapText="1"/>
    </xf>
    <xf numFmtId="0" fontId="24" fillId="6" borderId="0" xfId="10" applyFont="1" applyFill="1" applyAlignment="1" applyProtection="1">
      <alignment horizontal="center" vertical="center" wrapText="1"/>
    </xf>
    <xf numFmtId="0" fontId="22" fillId="6" borderId="0" xfId="0" applyFont="1" applyFill="1" applyBorder="1" applyAlignment="1" applyProtection="1">
      <alignment vertical="center"/>
    </xf>
    <xf numFmtId="0" fontId="8" fillId="6" borderId="0" xfId="0" applyFont="1" applyFill="1" applyBorder="1" applyProtection="1"/>
    <xf numFmtId="3" fontId="57" fillId="6" borderId="0" xfId="0" applyNumberFormat="1" applyFont="1" applyFill="1" applyBorder="1" applyAlignment="1" applyProtection="1">
      <alignment horizontal="center"/>
    </xf>
    <xf numFmtId="0" fontId="57" fillId="6" borderId="0" xfId="0" applyFont="1" applyFill="1" applyBorder="1" applyProtection="1"/>
    <xf numFmtId="0" fontId="26" fillId="6" borderId="0" xfId="0" applyFont="1" applyFill="1" applyBorder="1" applyProtection="1"/>
    <xf numFmtId="37" fontId="3" fillId="3" borderId="0" xfId="1" applyNumberFormat="1" applyFont="1" applyFill="1" applyBorder="1" applyAlignment="1" applyProtection="1">
      <alignment horizontal="center" vertical="center"/>
    </xf>
    <xf numFmtId="0" fontId="3" fillId="3" borderId="0" xfId="0" applyFont="1" applyFill="1" applyBorder="1" applyAlignment="1" applyProtection="1">
      <alignment horizontal="center"/>
    </xf>
    <xf numFmtId="3" fontId="3" fillId="3" borderId="0" xfId="0" applyNumberFormat="1" applyFont="1" applyFill="1" applyBorder="1" applyProtection="1"/>
    <xf numFmtId="3" fontId="3" fillId="3" borderId="19" xfId="0" applyNumberFormat="1" applyFont="1" applyFill="1" applyBorder="1" applyProtection="1"/>
    <xf numFmtId="0" fontId="3" fillId="3" borderId="18" xfId="0" applyFont="1" applyFill="1" applyBorder="1" applyProtection="1"/>
    <xf numFmtId="0" fontId="20" fillId="9" borderId="26" xfId="0" applyFont="1" applyFill="1" applyBorder="1" applyAlignment="1" applyProtection="1">
      <alignment horizontal="right" vertical="center"/>
    </xf>
    <xf numFmtId="0" fontId="3" fillId="6" borderId="0" xfId="0" applyFont="1" applyFill="1" applyBorder="1" applyAlignment="1" applyProtection="1">
      <alignment vertical="center"/>
    </xf>
    <xf numFmtId="0" fontId="20" fillId="9" borderId="18" xfId="0" applyFont="1" applyFill="1" applyBorder="1" applyAlignment="1" applyProtection="1">
      <alignment horizontal="right"/>
    </xf>
    <xf numFmtId="0" fontId="11" fillId="3" borderId="20" xfId="0" applyFont="1" applyFill="1" applyBorder="1" applyAlignment="1" applyProtection="1">
      <alignment horizontal="right"/>
    </xf>
    <xf numFmtId="166" fontId="11" fillId="3" borderId="21" xfId="2" applyNumberFormat="1" applyFont="1" applyFill="1" applyBorder="1" applyAlignment="1" applyProtection="1">
      <alignment horizontal="center"/>
    </xf>
    <xf numFmtId="166" fontId="11" fillId="3" borderId="22" xfId="2" applyNumberFormat="1" applyFont="1" applyFill="1" applyBorder="1" applyAlignment="1" applyProtection="1">
      <alignment horizontal="center"/>
    </xf>
    <xf numFmtId="166" fontId="11" fillId="6" borderId="0" xfId="2" applyNumberFormat="1" applyFont="1" applyFill="1" applyBorder="1" applyAlignment="1" applyProtection="1">
      <alignment horizontal="center"/>
    </xf>
    <xf numFmtId="0" fontId="11" fillId="6" borderId="0" xfId="0" applyFont="1" applyFill="1" applyBorder="1" applyAlignment="1" applyProtection="1">
      <alignment horizontal="right"/>
    </xf>
    <xf numFmtId="0" fontId="5" fillId="3" borderId="0" xfId="0" applyFont="1" applyFill="1" applyBorder="1" applyAlignment="1" applyProtection="1">
      <alignment horizontal="left" vertical="center"/>
    </xf>
    <xf numFmtId="0" fontId="5" fillId="3" borderId="0" xfId="0" applyFont="1" applyFill="1" applyBorder="1" applyProtection="1"/>
    <xf numFmtId="3" fontId="34" fillId="3" borderId="0" xfId="0" applyNumberFormat="1" applyFont="1" applyFill="1" applyBorder="1" applyAlignment="1" applyProtection="1">
      <alignment vertical="top" wrapText="1"/>
    </xf>
    <xf numFmtId="0" fontId="3" fillId="6" borderId="0" xfId="0" applyFont="1" applyFill="1" applyBorder="1" applyAlignment="1" applyProtection="1">
      <alignment vertical="top"/>
    </xf>
    <xf numFmtId="3" fontId="3" fillId="6" borderId="0" xfId="0" applyNumberFormat="1" applyFont="1" applyFill="1" applyBorder="1" applyAlignment="1" applyProtection="1">
      <alignment vertical="top"/>
    </xf>
    <xf numFmtId="9" fontId="3" fillId="6" borderId="0" xfId="2" applyFont="1" applyFill="1" applyBorder="1" applyAlignment="1" applyProtection="1">
      <alignment horizontal="center"/>
    </xf>
    <xf numFmtId="9" fontId="3" fillId="6" borderId="0" xfId="2" applyFont="1" applyFill="1" applyBorder="1" applyProtection="1"/>
    <xf numFmtId="0" fontId="3" fillId="10" borderId="18" xfId="0" applyFont="1" applyFill="1" applyBorder="1" applyAlignment="1" applyProtection="1">
      <alignment horizontal="center"/>
    </xf>
    <xf numFmtId="165" fontId="3" fillId="10" borderId="0" xfId="2" applyNumberFormat="1" applyFont="1" applyFill="1" applyBorder="1" applyAlignment="1" applyProtection="1">
      <alignment horizontal="center"/>
    </xf>
    <xf numFmtId="9" fontId="3" fillId="10" borderId="0" xfId="2" applyFont="1" applyFill="1" applyBorder="1" applyAlignment="1" applyProtection="1">
      <alignment horizontal="center"/>
    </xf>
    <xf numFmtId="9" fontId="3" fillId="10" borderId="0" xfId="2" applyFont="1" applyFill="1" applyBorder="1" applyProtection="1"/>
    <xf numFmtId="9" fontId="3" fillId="10" borderId="19" xfId="2" applyFont="1" applyFill="1" applyBorder="1" applyProtection="1"/>
    <xf numFmtId="3" fontId="34" fillId="10" borderId="0" xfId="0" applyNumberFormat="1" applyFont="1" applyFill="1" applyBorder="1" applyAlignment="1" applyProtection="1">
      <alignment horizontal="center" vertical="center"/>
    </xf>
    <xf numFmtId="0" fontId="34" fillId="10" borderId="0" xfId="0" applyFont="1" applyFill="1" applyBorder="1" applyAlignment="1" applyProtection="1">
      <alignment vertical="center"/>
    </xf>
    <xf numFmtId="0" fontId="13" fillId="10" borderId="0" xfId="0" applyFont="1" applyFill="1" applyBorder="1" applyProtection="1"/>
    <xf numFmtId="3" fontId="13" fillId="10" borderId="0" xfId="0" applyNumberFormat="1" applyFont="1" applyFill="1" applyBorder="1" applyProtection="1"/>
    <xf numFmtId="3" fontId="13" fillId="10" borderId="19" xfId="0" applyNumberFormat="1" applyFont="1" applyFill="1" applyBorder="1" applyProtection="1"/>
    <xf numFmtId="0" fontId="13" fillId="6" borderId="0" xfId="0" applyFont="1" applyFill="1" applyBorder="1" applyProtection="1"/>
    <xf numFmtId="49" fontId="13" fillId="6" borderId="0" xfId="0" applyNumberFormat="1" applyFont="1" applyFill="1" applyProtection="1"/>
    <xf numFmtId="0" fontId="58" fillId="6" borderId="0" xfId="0" applyFont="1" applyFill="1" applyBorder="1" applyProtection="1"/>
    <xf numFmtId="165" fontId="3" fillId="6" borderId="0" xfId="0" applyNumberFormat="1" applyFont="1" applyFill="1" applyBorder="1" applyAlignment="1" applyProtection="1">
      <alignment horizontal="right"/>
    </xf>
    <xf numFmtId="0" fontId="3" fillId="6" borderId="0" xfId="0" applyFont="1" applyFill="1" applyBorder="1" applyAlignment="1" applyProtection="1">
      <alignment horizontal="right"/>
    </xf>
    <xf numFmtId="49" fontId="3" fillId="6" borderId="0" xfId="0" applyNumberFormat="1" applyFont="1" applyFill="1" applyProtection="1"/>
    <xf numFmtId="0" fontId="3" fillId="6" borderId="0" xfId="10" applyFont="1" applyFill="1" applyAlignment="1" applyProtection="1">
      <alignment horizontal="center"/>
    </xf>
    <xf numFmtId="3" fontId="13" fillId="6" borderId="0" xfId="0" applyNumberFormat="1" applyFont="1" applyFill="1" applyBorder="1" applyProtection="1"/>
    <xf numFmtId="164" fontId="6" fillId="6" borderId="0" xfId="4" applyNumberFormat="1" applyFont="1" applyFill="1" applyBorder="1" applyAlignment="1" applyProtection="1">
      <alignment horizontal="right" wrapText="1"/>
    </xf>
    <xf numFmtId="7" fontId="3" fillId="6" borderId="0" xfId="0" applyNumberFormat="1" applyFont="1" applyFill="1" applyProtection="1"/>
    <xf numFmtId="0" fontId="40" fillId="6" borderId="0" xfId="10" applyFont="1" applyFill="1" applyBorder="1" applyAlignment="1" applyProtection="1">
      <alignment vertical="center"/>
    </xf>
    <xf numFmtId="0" fontId="9" fillId="6" borderId="0" xfId="0" applyFont="1" applyFill="1" applyBorder="1" applyAlignment="1" applyProtection="1">
      <alignment horizontal="center"/>
    </xf>
    <xf numFmtId="3" fontId="9" fillId="6" borderId="0" xfId="0" applyNumberFormat="1" applyFont="1" applyFill="1" applyBorder="1" applyAlignment="1" applyProtection="1">
      <alignment horizontal="center"/>
    </xf>
    <xf numFmtId="0" fontId="3" fillId="6" borderId="0" xfId="0" applyFont="1" applyFill="1" applyBorder="1" applyAlignment="1" applyProtection="1">
      <alignment horizontal="right" wrapText="1"/>
    </xf>
    <xf numFmtId="165" fontId="3" fillId="6" borderId="0" xfId="12" applyNumberFormat="1" applyFont="1" applyFill="1" applyBorder="1" applyAlignment="1" applyProtection="1">
      <alignment horizontal="center"/>
    </xf>
    <xf numFmtId="9" fontId="25" fillId="6" borderId="0" xfId="2" applyFont="1" applyFill="1" applyBorder="1" applyAlignment="1" applyProtection="1">
      <alignment horizontal="center"/>
    </xf>
    <xf numFmtId="3" fontId="3" fillId="6" borderId="0" xfId="0" applyNumberFormat="1" applyFont="1" applyFill="1" applyBorder="1" applyAlignment="1" applyProtection="1">
      <alignment horizontal="center"/>
    </xf>
    <xf numFmtId="165" fontId="3" fillId="6" borderId="0" xfId="2" applyNumberFormat="1" applyFont="1" applyFill="1" applyBorder="1" applyAlignment="1" applyProtection="1">
      <alignment horizontal="center"/>
    </xf>
    <xf numFmtId="0" fontId="12" fillId="6" borderId="0" xfId="0" applyFont="1" applyFill="1" applyBorder="1" applyProtection="1"/>
    <xf numFmtId="3" fontId="8" fillId="6" borderId="0" xfId="0" applyNumberFormat="1" applyFont="1" applyFill="1" applyBorder="1" applyProtection="1"/>
    <xf numFmtId="0" fontId="10" fillId="6" borderId="0" xfId="0" applyFont="1" applyFill="1" applyBorder="1" applyAlignment="1" applyProtection="1">
      <alignment horizontal="center"/>
    </xf>
    <xf numFmtId="37" fontId="14" fillId="6" borderId="0" xfId="0" applyNumberFormat="1" applyFont="1" applyFill="1" applyBorder="1" applyAlignment="1" applyProtection="1">
      <alignment horizontal="center"/>
    </xf>
    <xf numFmtId="0" fontId="9" fillId="6" borderId="0" xfId="0" applyFont="1" applyFill="1" applyBorder="1" applyAlignment="1" applyProtection="1">
      <alignment horizontal="center" vertical="top"/>
    </xf>
    <xf numFmtId="2" fontId="10" fillId="6" borderId="0" xfId="0" applyNumberFormat="1" applyFont="1" applyFill="1" applyBorder="1" applyAlignment="1" applyProtection="1">
      <alignment horizontal="center"/>
    </xf>
    <xf numFmtId="0" fontId="3" fillId="6" borderId="11" xfId="0" applyFont="1" applyFill="1" applyBorder="1" applyAlignment="1" applyProtection="1">
      <alignment horizontal="center"/>
    </xf>
    <xf numFmtId="0" fontId="17" fillId="6" borderId="0" xfId="0" applyFont="1" applyFill="1" applyBorder="1" applyProtection="1"/>
    <xf numFmtId="0" fontId="15" fillId="6" borderId="0" xfId="0" applyFont="1" applyFill="1" applyBorder="1" applyAlignment="1" applyProtection="1">
      <alignment horizontal="center"/>
    </xf>
    <xf numFmtId="0" fontId="16" fillId="6" borderId="0" xfId="0" applyFont="1" applyFill="1" applyBorder="1" applyProtection="1"/>
    <xf numFmtId="0" fontId="16" fillId="6" borderId="0" xfId="0" applyFont="1" applyFill="1" applyBorder="1" applyAlignment="1" applyProtection="1">
      <alignment horizontal="center"/>
    </xf>
    <xf numFmtId="37" fontId="15" fillId="6" borderId="0" xfId="0" applyNumberFormat="1" applyFont="1" applyFill="1" applyBorder="1" applyAlignment="1" applyProtection="1">
      <alignment horizontal="center"/>
    </xf>
    <xf numFmtId="0" fontId="17" fillId="6" borderId="0" xfId="0" applyFont="1" applyFill="1" applyBorder="1" applyAlignment="1" applyProtection="1">
      <alignment horizontal="center"/>
    </xf>
    <xf numFmtId="3" fontId="16" fillId="6" borderId="0" xfId="0" applyNumberFormat="1" applyFont="1" applyFill="1" applyBorder="1" applyAlignment="1" applyProtection="1">
      <alignment horizontal="center"/>
    </xf>
    <xf numFmtId="3" fontId="15" fillId="6" borderId="0" xfId="0" applyNumberFormat="1" applyFont="1" applyFill="1" applyBorder="1" applyAlignment="1" applyProtection="1">
      <alignment horizontal="center"/>
    </xf>
    <xf numFmtId="3" fontId="16" fillId="6" borderId="0" xfId="0" applyNumberFormat="1" applyFont="1" applyFill="1" applyBorder="1" applyProtection="1"/>
    <xf numFmtId="37" fontId="3" fillId="6" borderId="0" xfId="0" applyNumberFormat="1" applyFont="1" applyFill="1" applyBorder="1" applyAlignment="1" applyProtection="1">
      <alignment horizontal="center"/>
    </xf>
    <xf numFmtId="0" fontId="9" fillId="10" borderId="0" xfId="0" applyFont="1" applyFill="1" applyBorder="1" applyAlignment="1" applyProtection="1">
      <alignment horizontal="center"/>
    </xf>
    <xf numFmtId="3" fontId="9" fillId="10" borderId="0" xfId="0" applyNumberFormat="1" applyFont="1" applyFill="1" applyBorder="1" applyAlignment="1" applyProtection="1">
      <alignment horizontal="center"/>
    </xf>
    <xf numFmtId="37" fontId="5" fillId="9" borderId="0" xfId="0" applyNumberFormat="1" applyFont="1" applyFill="1" applyBorder="1" applyAlignment="1" applyProtection="1">
      <alignment horizontal="center"/>
    </xf>
    <xf numFmtId="3" fontId="5" fillId="9" borderId="0" xfId="0" applyNumberFormat="1" applyFont="1" applyFill="1" applyBorder="1" applyAlignment="1" applyProtection="1">
      <alignment horizontal="center"/>
    </xf>
    <xf numFmtId="3" fontId="5" fillId="9" borderId="19" xfId="0" applyNumberFormat="1" applyFont="1" applyFill="1" applyBorder="1" applyAlignment="1" applyProtection="1">
      <alignment horizontal="center"/>
    </xf>
    <xf numFmtId="0" fontId="61" fillId="6" borderId="0" xfId="0" applyFont="1" applyFill="1" applyBorder="1" applyProtection="1"/>
    <xf numFmtId="0" fontId="20" fillId="9" borderId="18" xfId="0" applyFont="1" applyFill="1" applyBorder="1" applyProtection="1"/>
    <xf numFmtId="165" fontId="54" fillId="6" borderId="0" xfId="0" applyNumberFormat="1" applyFont="1" applyFill="1" applyBorder="1" applyAlignment="1" applyProtection="1">
      <alignment horizontal="right"/>
    </xf>
    <xf numFmtId="165" fontId="53" fillId="6" borderId="0" xfId="0" applyNumberFormat="1" applyFont="1" applyFill="1" applyBorder="1" applyAlignment="1" applyProtection="1">
      <alignment horizontal="right"/>
    </xf>
    <xf numFmtId="0" fontId="53" fillId="6" borderId="0" xfId="0" applyFont="1" applyFill="1" applyBorder="1" applyAlignment="1" applyProtection="1">
      <alignment horizontal="right"/>
    </xf>
    <xf numFmtId="168" fontId="3" fillId="10" borderId="0" xfId="0" applyNumberFormat="1" applyFont="1" applyFill="1" applyBorder="1" applyAlignment="1" applyProtection="1"/>
    <xf numFmtId="0" fontId="34" fillId="10" borderId="0" xfId="0" applyFont="1" applyFill="1" applyBorder="1" applyAlignment="1" applyProtection="1">
      <alignment wrapText="1"/>
    </xf>
    <xf numFmtId="168" fontId="34" fillId="10" borderId="0" xfId="0" applyNumberFormat="1" applyFont="1" applyFill="1" applyBorder="1" applyAlignment="1" applyProtection="1"/>
    <xf numFmtId="9" fontId="3" fillId="6" borderId="0" xfId="2" applyFont="1" applyFill="1" applyBorder="1" applyAlignment="1" applyProtection="1"/>
    <xf numFmtId="0" fontId="3" fillId="10" borderId="0" xfId="2" applyNumberFormat="1" applyFont="1" applyFill="1" applyBorder="1" applyAlignment="1" applyProtection="1"/>
    <xf numFmtId="0" fontId="3" fillId="10" borderId="0" xfId="0" applyNumberFormat="1" applyFont="1" applyFill="1" applyBorder="1" applyAlignment="1" applyProtection="1"/>
    <xf numFmtId="0" fontId="3" fillId="10" borderId="0" xfId="0" applyFont="1" applyFill="1" applyBorder="1" applyAlignment="1" applyProtection="1">
      <alignment horizontal="center"/>
    </xf>
    <xf numFmtId="37" fontId="3" fillId="6" borderId="0" xfId="0" applyNumberFormat="1" applyFont="1" applyFill="1" applyBorder="1" applyProtection="1"/>
    <xf numFmtId="166" fontId="3" fillId="6" borderId="0" xfId="2" applyNumberFormat="1" applyFont="1" applyFill="1" applyBorder="1" applyAlignment="1" applyProtection="1"/>
    <xf numFmtId="0" fontId="42" fillId="6" borderId="0" xfId="0" applyFont="1" applyFill="1" applyAlignment="1" applyProtection="1"/>
    <xf numFmtId="0" fontId="47" fillId="6" borderId="0" xfId="10" applyFont="1" applyFill="1" applyBorder="1" applyAlignment="1" applyProtection="1">
      <alignment vertical="center"/>
    </xf>
    <xf numFmtId="0" fontId="27" fillId="6" borderId="0" xfId="0" applyFont="1" applyFill="1" applyBorder="1" applyAlignment="1" applyProtection="1">
      <alignment wrapText="1"/>
    </xf>
    <xf numFmtId="0" fontId="71" fillId="6" borderId="0" xfId="8" applyFont="1" applyFill="1" applyProtection="1"/>
    <xf numFmtId="0" fontId="27" fillId="6" borderId="0" xfId="0" applyFont="1" applyFill="1" applyBorder="1" applyAlignment="1" applyProtection="1">
      <alignment horizontal="left" wrapText="1"/>
    </xf>
    <xf numFmtId="0" fontId="5" fillId="9" borderId="38" xfId="0" applyFont="1" applyFill="1" applyBorder="1" applyAlignment="1" applyProtection="1">
      <alignment horizontal="right" wrapText="1"/>
    </xf>
    <xf numFmtId="0" fontId="20" fillId="9" borderId="3" xfId="0" applyFont="1" applyFill="1" applyBorder="1" applyAlignment="1" applyProtection="1">
      <alignment horizontal="right"/>
    </xf>
    <xf numFmtId="0" fontId="5" fillId="6" borderId="0" xfId="0" applyFont="1" applyFill="1" applyBorder="1" applyAlignment="1" applyProtection="1">
      <alignment horizontal="center" vertical="center" wrapText="1"/>
    </xf>
    <xf numFmtId="0" fontId="5" fillId="6" borderId="0" xfId="0" applyFont="1" applyFill="1" applyBorder="1" applyAlignment="1" applyProtection="1">
      <alignment vertical="center"/>
    </xf>
    <xf numFmtId="170" fontId="5" fillId="6" borderId="0" xfId="0" applyNumberFormat="1" applyFont="1" applyFill="1" applyBorder="1" applyProtection="1"/>
    <xf numFmtId="3" fontId="66" fillId="6" borderId="0" xfId="0" applyNumberFormat="1" applyFont="1" applyFill="1" applyBorder="1" applyAlignment="1" applyProtection="1">
      <alignment horizontal="center"/>
    </xf>
    <xf numFmtId="0" fontId="5" fillId="6" borderId="0" xfId="0" applyFont="1" applyFill="1" applyBorder="1" applyAlignment="1" applyProtection="1">
      <alignment horizontal="right"/>
    </xf>
    <xf numFmtId="0" fontId="66" fillId="6" borderId="0" xfId="0" applyFont="1" applyFill="1" applyBorder="1" applyAlignment="1" applyProtection="1">
      <alignment horizontal="center"/>
    </xf>
    <xf numFmtId="37" fontId="5" fillId="6" borderId="0" xfId="0" applyNumberFormat="1" applyFont="1" applyFill="1" applyBorder="1" applyAlignment="1" applyProtection="1">
      <alignment horizontal="center"/>
    </xf>
    <xf numFmtId="37" fontId="67" fillId="6" borderId="0" xfId="0" applyNumberFormat="1" applyFont="1" applyFill="1" applyBorder="1" applyAlignment="1" applyProtection="1">
      <alignment horizontal="center"/>
    </xf>
    <xf numFmtId="0" fontId="36" fillId="6" borderId="0" xfId="0" applyFont="1" applyFill="1" applyBorder="1" applyProtection="1"/>
    <xf numFmtId="2" fontId="20" fillId="6" borderId="0" xfId="0" applyNumberFormat="1" applyFont="1" applyFill="1" applyBorder="1" applyAlignment="1" applyProtection="1">
      <alignment horizontal="center"/>
    </xf>
    <xf numFmtId="0" fontId="5" fillId="6" borderId="11" xfId="0" applyFont="1" applyFill="1" applyBorder="1" applyAlignment="1" applyProtection="1">
      <alignment horizontal="center"/>
    </xf>
    <xf numFmtId="0" fontId="68" fillId="6" borderId="0" xfId="0" applyFont="1" applyFill="1" applyBorder="1" applyProtection="1"/>
    <xf numFmtId="0" fontId="69" fillId="6" borderId="0" xfId="0" applyFont="1" applyFill="1" applyBorder="1" applyAlignment="1" applyProtection="1">
      <alignment horizontal="center"/>
    </xf>
    <xf numFmtId="0" fontId="70" fillId="6" borderId="0" xfId="0" applyFont="1" applyFill="1" applyBorder="1" applyProtection="1"/>
    <xf numFmtId="0" fontId="70" fillId="6" borderId="0" xfId="0" applyFont="1" applyFill="1" applyBorder="1" applyAlignment="1" applyProtection="1">
      <alignment horizontal="center"/>
    </xf>
    <xf numFmtId="37" fontId="69" fillId="6" borderId="0" xfId="0" applyNumberFormat="1" applyFont="1" applyFill="1" applyBorder="1" applyAlignment="1" applyProtection="1">
      <alignment horizontal="center"/>
    </xf>
    <xf numFmtId="0" fontId="68" fillId="6" borderId="0" xfId="0" applyFont="1" applyFill="1" applyBorder="1" applyAlignment="1" applyProtection="1">
      <alignment horizontal="center"/>
    </xf>
    <xf numFmtId="3" fontId="70" fillId="6" borderId="0" xfId="0" applyNumberFormat="1" applyFont="1" applyFill="1" applyBorder="1" applyAlignment="1" applyProtection="1">
      <alignment horizontal="center"/>
    </xf>
    <xf numFmtId="3" fontId="69" fillId="6" borderId="0" xfId="0" applyNumberFormat="1" applyFont="1" applyFill="1" applyBorder="1" applyAlignment="1" applyProtection="1">
      <alignment horizontal="center"/>
    </xf>
    <xf numFmtId="3" fontId="5" fillId="6" borderId="0" xfId="0" applyNumberFormat="1" applyFont="1" applyFill="1" applyBorder="1" applyAlignment="1" applyProtection="1">
      <alignment horizontal="center"/>
    </xf>
    <xf numFmtId="37" fontId="61" fillId="6" borderId="0" xfId="0" applyNumberFormat="1" applyFont="1" applyFill="1" applyBorder="1" applyAlignment="1" applyProtection="1">
      <alignment horizontal="center"/>
    </xf>
    <xf numFmtId="166" fontId="61" fillId="6" borderId="0" xfId="2" applyNumberFormat="1" applyFont="1" applyFill="1" applyBorder="1" applyAlignment="1" applyProtection="1">
      <alignment horizontal="center"/>
    </xf>
    <xf numFmtId="0" fontId="5" fillId="6" borderId="0" xfId="0" applyFont="1" applyFill="1" applyBorder="1" applyAlignment="1" applyProtection="1">
      <alignment horizontal="right" wrapText="1"/>
    </xf>
    <xf numFmtId="165" fontId="5" fillId="6" borderId="0" xfId="12" applyNumberFormat="1" applyFont="1" applyFill="1" applyBorder="1" applyAlignment="1" applyProtection="1">
      <alignment horizontal="center"/>
    </xf>
    <xf numFmtId="9" fontId="5" fillId="6" borderId="0" xfId="2" applyFont="1" applyFill="1" applyBorder="1" applyAlignment="1" applyProtection="1"/>
    <xf numFmtId="0" fontId="5" fillId="6" borderId="0" xfId="0" applyFont="1" applyFill="1" applyBorder="1" applyAlignment="1" applyProtection="1">
      <alignment horizontal="left"/>
    </xf>
    <xf numFmtId="0" fontId="53" fillId="6" borderId="0" xfId="0" applyFont="1" applyFill="1" applyBorder="1" applyProtection="1"/>
    <xf numFmtId="3" fontId="53" fillId="6" borderId="0" xfId="0" applyNumberFormat="1" applyFont="1" applyFill="1" applyBorder="1" applyProtection="1"/>
    <xf numFmtId="1" fontId="5" fillId="6" borderId="11" xfId="0" applyNumberFormat="1" applyFont="1" applyFill="1" applyBorder="1" applyAlignment="1" applyProtection="1">
      <alignment horizontal="center"/>
    </xf>
    <xf numFmtId="49" fontId="5" fillId="6" borderId="0" xfId="0" applyNumberFormat="1" applyFont="1" applyFill="1" applyProtection="1"/>
    <xf numFmtId="0" fontId="5" fillId="10" borderId="0" xfId="0" applyFont="1" applyFill="1" applyBorder="1" applyAlignment="1" applyProtection="1">
      <alignment horizontal="left" vertical="top"/>
    </xf>
    <xf numFmtId="168" fontId="5" fillId="10" borderId="0" xfId="0" applyNumberFormat="1" applyFont="1" applyFill="1" applyBorder="1" applyAlignment="1" applyProtection="1">
      <alignment vertical="top"/>
    </xf>
    <xf numFmtId="0" fontId="5" fillId="10" borderId="0" xfId="0" applyFont="1" applyFill="1" applyBorder="1" applyAlignment="1" applyProtection="1">
      <alignment vertical="top"/>
    </xf>
    <xf numFmtId="3" fontId="38" fillId="6" borderId="0" xfId="0" applyNumberFormat="1" applyFont="1" applyFill="1" applyBorder="1" applyProtection="1"/>
    <xf numFmtId="0" fontId="38" fillId="6" borderId="0" xfId="0" applyFont="1" applyFill="1" applyBorder="1" applyProtection="1"/>
    <xf numFmtId="168" fontId="73" fillId="10" borderId="9" xfId="0" applyNumberFormat="1" applyFont="1" applyFill="1" applyBorder="1" applyProtection="1"/>
    <xf numFmtId="168" fontId="39" fillId="6" borderId="0" xfId="0" applyNumberFormat="1" applyFont="1" applyFill="1" applyBorder="1" applyProtection="1"/>
    <xf numFmtId="9" fontId="39" fillId="6" borderId="0" xfId="2" applyFont="1" applyFill="1" applyBorder="1" applyProtection="1"/>
    <xf numFmtId="168" fontId="38" fillId="6" borderId="0" xfId="0" applyNumberFormat="1" applyFont="1" applyFill="1" applyBorder="1" applyProtection="1"/>
    <xf numFmtId="9" fontId="38" fillId="6" borderId="0" xfId="2" applyFont="1" applyFill="1" applyBorder="1" applyProtection="1"/>
    <xf numFmtId="0" fontId="5" fillId="10" borderId="10" xfId="0" applyFont="1" applyFill="1" applyBorder="1" applyProtection="1"/>
    <xf numFmtId="49" fontId="38" fillId="6" borderId="0" xfId="0" applyNumberFormat="1" applyFont="1" applyFill="1" applyProtection="1"/>
    <xf numFmtId="164" fontId="72" fillId="6" borderId="0" xfId="4" applyNumberFormat="1" applyFont="1" applyFill="1" applyBorder="1" applyAlignment="1" applyProtection="1">
      <alignment horizontal="right" wrapText="1"/>
    </xf>
    <xf numFmtId="7" fontId="5" fillId="6" borderId="0" xfId="0" applyNumberFormat="1" applyFont="1" applyFill="1" applyProtection="1"/>
    <xf numFmtId="49" fontId="53" fillId="6" borderId="0" xfId="0" applyNumberFormat="1" applyFont="1" applyFill="1" applyBorder="1" applyProtection="1"/>
    <xf numFmtId="49" fontId="5" fillId="6" borderId="0" xfId="0" applyNumberFormat="1" applyFont="1" applyFill="1" applyBorder="1" applyProtection="1"/>
    <xf numFmtId="0" fontId="38" fillId="6" borderId="0" xfId="0" applyFont="1" applyFill="1" applyBorder="1" applyAlignment="1" applyProtection="1">
      <alignment wrapText="1"/>
    </xf>
    <xf numFmtId="0" fontId="38" fillId="6" borderId="0" xfId="0" applyFont="1" applyFill="1" applyBorder="1" applyAlignment="1" applyProtection="1">
      <alignment horizontal="center"/>
    </xf>
    <xf numFmtId="0" fontId="38" fillId="6" borderId="0" xfId="0" applyFont="1" applyFill="1" applyAlignment="1" applyProtection="1">
      <alignment horizontal="center"/>
    </xf>
    <xf numFmtId="9" fontId="38" fillId="6" borderId="0" xfId="2" applyNumberFormat="1" applyFont="1" applyFill="1" applyProtection="1"/>
    <xf numFmtId="0" fontId="38" fillId="6" borderId="0" xfId="0" applyFont="1" applyFill="1" applyAlignment="1" applyProtection="1">
      <alignment horizontal="center" vertical="center" wrapText="1"/>
    </xf>
    <xf numFmtId="0" fontId="38" fillId="6" borderId="0" xfId="0" applyFont="1" applyFill="1" applyAlignment="1" applyProtection="1">
      <alignment vertical="center"/>
    </xf>
    <xf numFmtId="0" fontId="5" fillId="8" borderId="0" xfId="0" applyFont="1" applyFill="1" applyBorder="1" applyAlignment="1" applyProtection="1">
      <alignment horizontal="center" vertical="center"/>
      <protection locked="0"/>
    </xf>
    <xf numFmtId="0" fontId="5" fillId="8" borderId="4" xfId="0" applyFont="1" applyFill="1" applyBorder="1" applyAlignment="1" applyProtection="1">
      <alignment horizontal="center" vertical="center"/>
      <protection locked="0"/>
    </xf>
    <xf numFmtId="169" fontId="5" fillId="8" borderId="0" xfId="0" applyNumberFormat="1" applyFont="1" applyFill="1" applyBorder="1" applyAlignment="1" applyProtection="1">
      <alignment horizontal="center" vertical="center"/>
      <protection locked="0"/>
    </xf>
    <xf numFmtId="169" fontId="5" fillId="8" borderId="9" xfId="0" applyNumberFormat="1" applyFont="1" applyFill="1" applyBorder="1" applyAlignment="1" applyProtection="1">
      <alignment horizontal="center" vertical="center"/>
      <protection locked="0"/>
    </xf>
    <xf numFmtId="0" fontId="5" fillId="8" borderId="9" xfId="0" applyFont="1" applyFill="1" applyBorder="1" applyAlignment="1" applyProtection="1">
      <alignment horizontal="center" vertical="center"/>
      <protection locked="0"/>
    </xf>
    <xf numFmtId="0" fontId="5" fillId="8" borderId="10" xfId="0" applyFont="1" applyFill="1" applyBorder="1" applyAlignment="1" applyProtection="1">
      <alignment horizontal="center" vertical="center"/>
      <protection locked="0"/>
    </xf>
    <xf numFmtId="0" fontId="76" fillId="5" borderId="0" xfId="0" applyFont="1" applyFill="1" applyBorder="1"/>
    <xf numFmtId="0" fontId="77" fillId="6" borderId="0" xfId="0" applyFont="1" applyFill="1" applyBorder="1"/>
    <xf numFmtId="0" fontId="8" fillId="6" borderId="0" xfId="0" applyFont="1" applyFill="1" applyBorder="1"/>
    <xf numFmtId="0" fontId="80" fillId="10" borderId="9" xfId="8" applyFont="1" applyFill="1" applyBorder="1" applyAlignment="1">
      <alignment wrapText="1"/>
    </xf>
    <xf numFmtId="0" fontId="84" fillId="6" borderId="0" xfId="0" applyFont="1" applyFill="1" applyBorder="1" applyProtection="1"/>
    <xf numFmtId="3" fontId="84" fillId="6" borderId="0" xfId="0" applyNumberFormat="1" applyFont="1" applyFill="1" applyBorder="1" applyProtection="1"/>
    <xf numFmtId="49" fontId="84" fillId="6" borderId="0" xfId="0" applyNumberFormat="1" applyFont="1" applyFill="1" applyProtection="1"/>
    <xf numFmtId="0" fontId="71" fillId="0" borderId="0" xfId="8" applyFont="1" applyFill="1"/>
    <xf numFmtId="0" fontId="5" fillId="9" borderId="27" xfId="10" applyFont="1" applyFill="1" applyBorder="1" applyAlignment="1" applyProtection="1">
      <alignment horizontal="center" vertical="center" wrapText="1"/>
    </xf>
    <xf numFmtId="0" fontId="3" fillId="3" borderId="18" xfId="10" applyFont="1" applyFill="1" applyBorder="1" applyAlignment="1" applyProtection="1">
      <alignment horizontal="center"/>
    </xf>
    <xf numFmtId="0" fontId="3" fillId="3" borderId="0" xfId="10" applyFont="1" applyFill="1" applyBorder="1" applyAlignment="1" applyProtection="1">
      <alignment horizontal="center"/>
    </xf>
    <xf numFmtId="0" fontId="47" fillId="6" borderId="0" xfId="10" applyFont="1" applyFill="1" applyAlignment="1" applyProtection="1">
      <alignment horizontal="center" vertical="center"/>
    </xf>
    <xf numFmtId="0" fontId="5" fillId="9" borderId="27" xfId="10" applyFont="1" applyFill="1" applyBorder="1" applyAlignment="1" applyProtection="1">
      <alignment horizontal="center" vertical="center" wrapText="1"/>
    </xf>
    <xf numFmtId="0" fontId="5" fillId="9" borderId="28" xfId="10" applyFont="1" applyFill="1" applyBorder="1" applyAlignment="1" applyProtection="1">
      <alignment horizontal="center" vertical="center" wrapText="1"/>
    </xf>
    <xf numFmtId="0" fontId="5" fillId="9" borderId="27" xfId="10" applyFont="1" applyFill="1" applyBorder="1" applyAlignment="1" applyProtection="1">
      <alignment horizontal="center"/>
    </xf>
    <xf numFmtId="3" fontId="5" fillId="9" borderId="0" xfId="10" applyNumberFormat="1" applyFont="1" applyFill="1" applyBorder="1" applyAlignment="1" applyProtection="1">
      <alignment horizontal="center"/>
    </xf>
    <xf numFmtId="3" fontId="5" fillId="2" borderId="0" xfId="10" applyNumberFormat="1" applyFont="1" applyFill="1" applyBorder="1" applyAlignment="1" applyProtection="1">
      <alignment horizontal="center"/>
      <protection locked="0"/>
    </xf>
    <xf numFmtId="3" fontId="5" fillId="9" borderId="21" xfId="10" applyNumberFormat="1" applyFont="1" applyFill="1" applyBorder="1" applyAlignment="1" applyProtection="1">
      <alignment horizontal="center"/>
    </xf>
    <xf numFmtId="3" fontId="53" fillId="9" borderId="21" xfId="10" applyNumberFormat="1" applyFont="1" applyFill="1" applyBorder="1" applyAlignment="1" applyProtection="1">
      <alignment horizontal="center"/>
    </xf>
    <xf numFmtId="165" fontId="5" fillId="2" borderId="21" xfId="10" applyNumberFormat="1" applyFont="1" applyFill="1" applyBorder="1" applyProtection="1">
      <protection locked="0"/>
    </xf>
    <xf numFmtId="0" fontId="8" fillId="0" borderId="0" xfId="10" applyFont="1" applyFill="1" applyBorder="1" applyProtection="1"/>
    <xf numFmtId="0" fontId="20" fillId="3" borderId="18" xfId="10" applyFont="1" applyFill="1" applyBorder="1" applyAlignment="1" applyProtection="1">
      <alignment horizontal="left" vertical="top"/>
    </xf>
    <xf numFmtId="0" fontId="19" fillId="3" borderId="19" xfId="10" applyFont="1" applyFill="1" applyBorder="1" applyAlignment="1" applyProtection="1">
      <alignment horizontal="left" vertical="top"/>
    </xf>
    <xf numFmtId="0" fontId="8" fillId="0" borderId="0" xfId="10" applyFont="1" applyFill="1" applyAlignment="1" applyProtection="1">
      <alignment horizontal="left" vertical="top"/>
    </xf>
    <xf numFmtId="0" fontId="3" fillId="0" borderId="0" xfId="10" applyFont="1" applyFill="1" applyAlignment="1" applyProtection="1">
      <alignment horizontal="left" vertical="top"/>
    </xf>
    <xf numFmtId="0" fontId="24" fillId="3" borderId="7" xfId="10" applyFont="1" applyFill="1" applyBorder="1" applyProtection="1"/>
    <xf numFmtId="0" fontId="20" fillId="3" borderId="5" xfId="10" applyFont="1" applyFill="1" applyBorder="1" applyAlignment="1" applyProtection="1">
      <alignment vertical="top" wrapText="1"/>
    </xf>
    <xf numFmtId="0" fontId="5" fillId="3" borderId="4" xfId="10" applyFont="1" applyFill="1" applyBorder="1" applyProtection="1"/>
    <xf numFmtId="0" fontId="24" fillId="3" borderId="4" xfId="10" applyFont="1" applyFill="1" applyBorder="1" applyProtection="1"/>
    <xf numFmtId="0" fontId="24" fillId="3" borderId="10" xfId="10" applyFont="1" applyFill="1" applyBorder="1" applyProtection="1"/>
    <xf numFmtId="0" fontId="32" fillId="0" borderId="0" xfId="10" applyFont="1" applyFill="1" applyAlignment="1" applyProtection="1">
      <alignment horizontal="center" vertical="center"/>
    </xf>
    <xf numFmtId="165" fontId="5" fillId="2" borderId="21" xfId="10" applyNumberFormat="1" applyFont="1" applyFill="1" applyBorder="1" applyAlignment="1" applyProtection="1">
      <alignment horizontal="center" vertical="center"/>
      <protection locked="0"/>
    </xf>
    <xf numFmtId="0" fontId="5" fillId="2" borderId="0" xfId="10" applyNumberFormat="1" applyFont="1" applyFill="1" applyBorder="1" applyAlignment="1" applyProtection="1">
      <alignment horizontal="center" vertical="center"/>
      <protection locked="0"/>
    </xf>
    <xf numFmtId="0" fontId="5" fillId="2" borderId="21" xfId="10" applyNumberFormat="1" applyFont="1" applyFill="1" applyBorder="1" applyAlignment="1" applyProtection="1">
      <alignment horizontal="center" vertical="center"/>
      <protection locked="0"/>
    </xf>
    <xf numFmtId="165" fontId="5" fillId="2" borderId="0" xfId="10" applyNumberFormat="1" applyFont="1" applyFill="1" applyBorder="1" applyAlignment="1" applyProtection="1">
      <alignment horizontal="center" vertical="center"/>
      <protection locked="0"/>
    </xf>
    <xf numFmtId="0" fontId="49" fillId="3" borderId="6" xfId="0" applyFont="1" applyFill="1" applyBorder="1" applyAlignment="1" applyProtection="1">
      <alignment vertical="top"/>
    </xf>
    <xf numFmtId="0" fontId="3" fillId="3" borderId="31" xfId="10" applyFont="1" applyFill="1" applyBorder="1" applyProtection="1"/>
    <xf numFmtId="0" fontId="3" fillId="3" borderId="3" xfId="10" applyFont="1" applyFill="1" applyBorder="1" applyAlignment="1" applyProtection="1">
      <alignment horizontal="center"/>
    </xf>
    <xf numFmtId="0" fontId="24" fillId="3" borderId="9" xfId="10" applyFont="1" applyFill="1" applyBorder="1" applyProtection="1"/>
    <xf numFmtId="0" fontId="3" fillId="3" borderId="9" xfId="10" applyFont="1" applyFill="1" applyBorder="1" applyProtection="1"/>
    <xf numFmtId="0" fontId="3" fillId="3" borderId="3" xfId="10" applyFont="1" applyFill="1" applyBorder="1" applyProtection="1"/>
    <xf numFmtId="0" fontId="3" fillId="3" borderId="5" xfId="10" applyFont="1" applyFill="1" applyBorder="1" applyProtection="1"/>
    <xf numFmtId="0" fontId="3" fillId="3" borderId="4" xfId="10" applyFont="1" applyFill="1" applyBorder="1" applyProtection="1"/>
    <xf numFmtId="0" fontId="3" fillId="3" borderId="10" xfId="10" applyFont="1" applyFill="1" applyBorder="1" applyProtection="1"/>
    <xf numFmtId="0" fontId="86" fillId="3" borderId="18" xfId="0" applyFont="1" applyFill="1" applyBorder="1" applyAlignment="1" applyProtection="1">
      <alignment horizontal="right"/>
    </xf>
    <xf numFmtId="0" fontId="86" fillId="3" borderId="0" xfId="0" applyFont="1" applyFill="1" applyBorder="1" applyAlignment="1" applyProtection="1">
      <alignment horizontal="center"/>
    </xf>
    <xf numFmtId="3" fontId="86" fillId="3" borderId="0" xfId="0" applyNumberFormat="1" applyFont="1" applyFill="1" applyBorder="1" applyAlignment="1" applyProtection="1">
      <alignment horizontal="center"/>
    </xf>
    <xf numFmtId="3" fontId="86" fillId="3" borderId="19" xfId="0" applyNumberFormat="1" applyFont="1" applyFill="1" applyBorder="1" applyAlignment="1" applyProtection="1">
      <alignment horizontal="center"/>
    </xf>
    <xf numFmtId="0" fontId="32" fillId="6" borderId="0" xfId="10" applyFont="1" applyFill="1" applyAlignment="1" applyProtection="1">
      <alignment horizontal="center" vertical="center"/>
    </xf>
    <xf numFmtId="0" fontId="12" fillId="6" borderId="0" xfId="10" applyFont="1" applyFill="1" applyAlignment="1" applyProtection="1">
      <alignment vertical="center"/>
    </xf>
    <xf numFmtId="0" fontId="32" fillId="6" borderId="0" xfId="10" applyFont="1" applyFill="1" applyBorder="1" applyAlignment="1">
      <alignment horizontal="center" vertical="center"/>
    </xf>
    <xf numFmtId="0" fontId="32" fillId="6" borderId="0" xfId="10" applyFont="1" applyFill="1" applyBorder="1" applyAlignment="1" applyProtection="1">
      <alignment horizontal="center" vertical="center"/>
    </xf>
    <xf numFmtId="0" fontId="32" fillId="6" borderId="0" xfId="10" applyFont="1" applyFill="1" applyBorder="1" applyAlignment="1" applyProtection="1">
      <alignment vertical="center"/>
    </xf>
    <xf numFmtId="0" fontId="43" fillId="0" borderId="0" xfId="0" applyFont="1" applyFill="1" applyAlignment="1"/>
    <xf numFmtId="0" fontId="44" fillId="0" borderId="0" xfId="0" applyFont="1" applyFill="1" applyBorder="1" applyAlignment="1">
      <alignment vertical="center"/>
    </xf>
    <xf numFmtId="0" fontId="30" fillId="6" borderId="0" xfId="0" applyFont="1" applyFill="1" applyBorder="1" applyAlignment="1">
      <alignment vertical="center"/>
    </xf>
    <xf numFmtId="0" fontId="87" fillId="0" borderId="0" xfId="0" applyFont="1" applyAlignment="1">
      <alignment vertical="center"/>
    </xf>
    <xf numFmtId="0" fontId="0" fillId="0" borderId="0" xfId="0" applyFill="1" applyAlignment="1">
      <alignment vertical="top"/>
    </xf>
    <xf numFmtId="0" fontId="87" fillId="0" borderId="0" xfId="0" applyFont="1" applyAlignment="1">
      <alignment vertical="top"/>
    </xf>
    <xf numFmtId="0" fontId="0" fillId="0" borderId="0" xfId="0" applyFill="1" applyAlignment="1">
      <alignment vertical="top" wrapText="1"/>
    </xf>
    <xf numFmtId="0" fontId="87" fillId="0" borderId="0" xfId="0" applyFont="1" applyAlignment="1">
      <alignment vertical="top" wrapText="1"/>
    </xf>
    <xf numFmtId="0" fontId="3" fillId="0" borderId="0" xfId="0" applyFont="1" applyFill="1" applyAlignment="1">
      <alignment vertical="top" wrapText="1"/>
    </xf>
    <xf numFmtId="0" fontId="90" fillId="6" borderId="0" xfId="0" applyFont="1" applyFill="1" applyAlignment="1" applyProtection="1"/>
    <xf numFmtId="166" fontId="38" fillId="6" borderId="0" xfId="2" applyNumberFormat="1" applyFont="1" applyFill="1" applyProtection="1"/>
    <xf numFmtId="168" fontId="38" fillId="6" borderId="0" xfId="12" applyNumberFormat="1" applyFont="1" applyFill="1" applyProtection="1"/>
    <xf numFmtId="0" fontId="56" fillId="6" borderId="0" xfId="10" applyFont="1" applyFill="1" applyBorder="1" applyAlignment="1" applyProtection="1">
      <alignment vertical="center"/>
    </xf>
    <xf numFmtId="0" fontId="12" fillId="6" borderId="0" xfId="10" applyFont="1" applyFill="1" applyBorder="1" applyAlignment="1" applyProtection="1">
      <alignment vertical="center"/>
    </xf>
    <xf numFmtId="0" fontId="38" fillId="6" borderId="0" xfId="0" applyFont="1" applyFill="1" applyBorder="1" applyAlignment="1" applyProtection="1">
      <alignment horizontal="center" vertical="center" wrapText="1"/>
    </xf>
    <xf numFmtId="0" fontId="38" fillId="6" borderId="0" xfId="0" applyFont="1" applyFill="1" applyBorder="1" applyAlignment="1" applyProtection="1">
      <alignment vertical="center"/>
    </xf>
    <xf numFmtId="166" fontId="38" fillId="6" borderId="0" xfId="2" applyNumberFormat="1" applyFont="1" applyFill="1" applyBorder="1" applyProtection="1"/>
    <xf numFmtId="3" fontId="91" fillId="6" borderId="0" xfId="0" applyNumberFormat="1" applyFont="1" applyFill="1" applyBorder="1" applyAlignment="1" applyProtection="1">
      <alignment horizontal="center"/>
    </xf>
    <xf numFmtId="37" fontId="38" fillId="6" borderId="0" xfId="0" applyNumberFormat="1" applyFont="1" applyFill="1" applyBorder="1" applyAlignment="1" applyProtection="1">
      <alignment horizontal="center"/>
    </xf>
    <xf numFmtId="0" fontId="91" fillId="6" borderId="0" xfId="0" applyFont="1" applyFill="1" applyBorder="1" applyAlignment="1" applyProtection="1">
      <alignment horizontal="center"/>
    </xf>
    <xf numFmtId="2" fontId="39" fillId="6" borderId="0" xfId="0" applyNumberFormat="1" applyFont="1" applyFill="1" applyBorder="1" applyAlignment="1" applyProtection="1">
      <alignment horizontal="center"/>
    </xf>
    <xf numFmtId="0" fontId="39" fillId="6" borderId="0" xfId="0" applyFont="1" applyFill="1" applyBorder="1" applyProtection="1"/>
    <xf numFmtId="0" fontId="38" fillId="6" borderId="11" xfId="0" applyFont="1" applyFill="1" applyBorder="1" applyAlignment="1" applyProtection="1">
      <alignment horizontal="center"/>
    </xf>
    <xf numFmtId="0" fontId="92" fillId="6" borderId="0" xfId="0" applyFont="1" applyFill="1" applyBorder="1" applyAlignment="1" applyProtection="1">
      <alignment horizontal="center"/>
    </xf>
    <xf numFmtId="0" fontId="93" fillId="6" borderId="0" xfId="0" applyFont="1" applyFill="1" applyBorder="1" applyProtection="1"/>
    <xf numFmtId="0" fontId="93" fillId="6" borderId="0" xfId="0" applyFont="1" applyFill="1" applyBorder="1" applyAlignment="1" applyProtection="1">
      <alignment horizontal="center"/>
    </xf>
    <xf numFmtId="0" fontId="94" fillId="6" borderId="0" xfId="0" applyFont="1" applyFill="1" applyBorder="1" applyAlignment="1" applyProtection="1">
      <alignment horizontal="center"/>
    </xf>
    <xf numFmtId="0" fontId="94" fillId="6" borderId="0" xfId="0" applyFont="1" applyFill="1" applyBorder="1" applyProtection="1"/>
    <xf numFmtId="3" fontId="93" fillId="6" borderId="0" xfId="0" applyNumberFormat="1" applyFont="1" applyFill="1" applyBorder="1" applyAlignment="1" applyProtection="1">
      <alignment horizontal="center"/>
    </xf>
    <xf numFmtId="3" fontId="92" fillId="6" borderId="0" xfId="0" applyNumberFormat="1" applyFont="1" applyFill="1" applyBorder="1" applyAlignment="1" applyProtection="1">
      <alignment horizontal="center"/>
    </xf>
    <xf numFmtId="3" fontId="93" fillId="6" borderId="0" xfId="0" applyNumberFormat="1" applyFont="1" applyFill="1" applyBorder="1" applyProtection="1"/>
    <xf numFmtId="3" fontId="38" fillId="6" borderId="0" xfId="0" applyNumberFormat="1" applyFont="1" applyFill="1" applyBorder="1" applyAlignment="1" applyProtection="1">
      <alignment horizontal="center"/>
    </xf>
    <xf numFmtId="37" fontId="74" fillId="6" borderId="0" xfId="0" applyNumberFormat="1" applyFont="1" applyFill="1" applyBorder="1" applyAlignment="1" applyProtection="1">
      <alignment horizontal="center"/>
    </xf>
    <xf numFmtId="0" fontId="74" fillId="6" borderId="0" xfId="0" applyFont="1" applyFill="1" applyBorder="1" applyProtection="1"/>
    <xf numFmtId="166" fontId="74" fillId="6" borderId="0" xfId="2" applyNumberFormat="1" applyFont="1" applyFill="1" applyBorder="1" applyAlignment="1" applyProtection="1">
      <alignment horizontal="center"/>
    </xf>
    <xf numFmtId="165" fontId="38" fillId="6" borderId="0" xfId="12" applyNumberFormat="1" applyFont="1" applyFill="1" applyBorder="1" applyAlignment="1" applyProtection="1">
      <alignment horizontal="center"/>
    </xf>
    <xf numFmtId="168" fontId="38" fillId="6" borderId="0" xfId="0" applyNumberFormat="1" applyFont="1" applyFill="1" applyBorder="1" applyAlignment="1" applyProtection="1"/>
    <xf numFmtId="168" fontId="38" fillId="6" borderId="12" xfId="0" applyNumberFormat="1" applyFont="1" applyFill="1" applyBorder="1" applyAlignment="1" applyProtection="1"/>
    <xf numFmtId="168" fontId="38" fillId="6" borderId="13" xfId="0" applyNumberFormat="1" applyFont="1" applyFill="1" applyBorder="1" applyAlignment="1" applyProtection="1"/>
    <xf numFmtId="166" fontId="38" fillId="6" borderId="14" xfId="2" applyNumberFormat="1" applyFont="1" applyFill="1" applyBorder="1" applyAlignment="1" applyProtection="1"/>
    <xf numFmtId="1" fontId="38" fillId="6" borderId="11" xfId="0" applyNumberFormat="1" applyFont="1" applyFill="1" applyBorder="1" applyAlignment="1" applyProtection="1">
      <alignment horizontal="center"/>
    </xf>
    <xf numFmtId="37" fontId="38" fillId="6" borderId="11" xfId="0" applyNumberFormat="1" applyFont="1" applyFill="1" applyBorder="1" applyAlignment="1" applyProtection="1">
      <alignment horizontal="center"/>
    </xf>
    <xf numFmtId="0" fontId="38" fillId="6" borderId="11" xfId="0" applyFont="1" applyFill="1" applyBorder="1" applyProtection="1"/>
    <xf numFmtId="0" fontId="8" fillId="6" borderId="0" xfId="0" applyFont="1" applyFill="1" applyBorder="1" applyAlignment="1" applyProtection="1">
      <alignment wrapText="1"/>
    </xf>
    <xf numFmtId="0" fontId="57" fillId="6" borderId="0" xfId="0" applyFont="1" applyFill="1" applyAlignment="1" applyProtection="1">
      <alignment horizontal="center"/>
    </xf>
    <xf numFmtId="3" fontId="8" fillId="6" borderId="0" xfId="0" applyNumberFormat="1" applyFont="1" applyFill="1" applyAlignment="1" applyProtection="1">
      <alignment horizontal="center"/>
    </xf>
    <xf numFmtId="166" fontId="8" fillId="6" borderId="0" xfId="2" applyNumberFormat="1" applyFont="1" applyFill="1" applyAlignment="1" applyProtection="1">
      <alignment horizontal="center"/>
    </xf>
    <xf numFmtId="168" fontId="8" fillId="6" borderId="0" xfId="0" applyNumberFormat="1" applyFont="1" applyFill="1" applyAlignment="1" applyProtection="1">
      <alignment horizontal="center"/>
    </xf>
    <xf numFmtId="0" fontId="8" fillId="6" borderId="0" xfId="0" applyFont="1" applyFill="1" applyAlignment="1" applyProtection="1">
      <alignment horizontal="center"/>
    </xf>
    <xf numFmtId="37" fontId="8" fillId="6" borderId="0" xfId="0" applyNumberFormat="1" applyFont="1" applyFill="1" applyProtection="1"/>
    <xf numFmtId="166" fontId="8" fillId="6" borderId="0" xfId="2" applyNumberFormat="1" applyFont="1" applyFill="1" applyProtection="1"/>
    <xf numFmtId="9" fontId="38" fillId="6" borderId="0" xfId="0" applyNumberFormat="1" applyFont="1" applyFill="1" applyProtection="1"/>
    <xf numFmtId="0" fontId="38" fillId="6" borderId="0" xfId="0" applyFont="1" applyFill="1" applyBorder="1" applyAlignment="1" applyProtection="1">
      <alignment vertical="top"/>
    </xf>
    <xf numFmtId="0" fontId="47" fillId="6" borderId="0" xfId="10" applyFont="1" applyFill="1" applyAlignment="1" applyProtection="1">
      <alignment horizontal="center" vertical="center"/>
    </xf>
    <xf numFmtId="0" fontId="5" fillId="10" borderId="0" xfId="8" applyFont="1" applyFill="1" applyBorder="1" applyAlignment="1">
      <alignment horizontal="left" vertical="top" wrapText="1"/>
    </xf>
    <xf numFmtId="0" fontId="27" fillId="9" borderId="27" xfId="10" applyFont="1" applyFill="1" applyBorder="1" applyAlignment="1" applyProtection="1">
      <alignment horizontal="center" vertical="center" wrapText="1"/>
    </xf>
    <xf numFmtId="3" fontId="5" fillId="9" borderId="18" xfId="10" applyNumberFormat="1" applyFont="1" applyFill="1" applyBorder="1" applyAlignment="1" applyProtection="1">
      <alignment horizontal="center"/>
    </xf>
    <xf numFmtId="165" fontId="5" fillId="9" borderId="0" xfId="10" applyNumberFormat="1" applyFont="1" applyFill="1" applyBorder="1" applyProtection="1"/>
    <xf numFmtId="165" fontId="5" fillId="8" borderId="0" xfId="10" applyNumberFormat="1" applyFont="1" applyFill="1" applyBorder="1" applyProtection="1">
      <protection locked="0"/>
    </xf>
    <xf numFmtId="165" fontId="5" fillId="9" borderId="29" xfId="10" applyNumberFormat="1" applyFont="1" applyFill="1" applyBorder="1" applyProtection="1"/>
    <xf numFmtId="165" fontId="5" fillId="9" borderId="19" xfId="10" applyNumberFormat="1" applyFont="1" applyFill="1" applyBorder="1" applyProtection="1"/>
    <xf numFmtId="3" fontId="5" fillId="9" borderId="20" xfId="10" applyNumberFormat="1" applyFont="1" applyFill="1" applyBorder="1" applyAlignment="1" applyProtection="1">
      <alignment horizontal="center"/>
    </xf>
    <xf numFmtId="165" fontId="5" fillId="9" borderId="21" xfId="10" applyNumberFormat="1" applyFont="1" applyFill="1" applyBorder="1" applyProtection="1"/>
    <xf numFmtId="165" fontId="5" fillId="8" borderId="21" xfId="10" applyNumberFormat="1" applyFont="1" applyFill="1" applyBorder="1" applyProtection="1">
      <protection locked="0"/>
    </xf>
    <xf numFmtId="165" fontId="5" fillId="9" borderId="22" xfId="10" applyNumberFormat="1" applyFont="1" applyFill="1" applyBorder="1" applyProtection="1"/>
    <xf numFmtId="0" fontId="22" fillId="3" borderId="18" xfId="0" applyFont="1" applyFill="1" applyBorder="1" applyAlignment="1" applyProtection="1">
      <alignment horizontal="left" vertical="center" wrapText="1"/>
    </xf>
    <xf numFmtId="0" fontId="22" fillId="3" borderId="0" xfId="0" applyFont="1" applyFill="1" applyBorder="1" applyAlignment="1" applyProtection="1">
      <alignment horizontal="left" vertical="center" wrapText="1"/>
    </xf>
    <xf numFmtId="0" fontId="22" fillId="3" borderId="19" xfId="0" applyFont="1" applyFill="1" applyBorder="1" applyAlignment="1" applyProtection="1">
      <alignment horizontal="left" vertical="center" wrapText="1"/>
    </xf>
    <xf numFmtId="0" fontId="55" fillId="3" borderId="3" xfId="10" applyFont="1" applyFill="1" applyBorder="1" applyAlignment="1" applyProtection="1">
      <alignment horizontal="right" wrapText="1"/>
    </xf>
    <xf numFmtId="0" fontId="47" fillId="3" borderId="31" xfId="10" applyFont="1" applyFill="1" applyBorder="1" applyAlignment="1" applyProtection="1">
      <alignment horizontal="center" vertical="center"/>
    </xf>
    <xf numFmtId="0" fontId="47" fillId="3" borderId="7" xfId="10" applyFont="1" applyFill="1" applyBorder="1" applyAlignment="1" applyProtection="1">
      <alignment horizontal="center" vertical="center"/>
    </xf>
    <xf numFmtId="0" fontId="34" fillId="3" borderId="0" xfId="10" applyFont="1" applyFill="1" applyBorder="1" applyAlignment="1" applyProtection="1">
      <alignment horizontal="center" vertical="center"/>
    </xf>
    <xf numFmtId="0" fontId="24" fillId="3" borderId="0" xfId="10" applyFont="1" applyFill="1" applyBorder="1" applyAlignment="1" applyProtection="1">
      <alignment horizontal="center"/>
    </xf>
    <xf numFmtId="0" fontId="19" fillId="3" borderId="9" xfId="10" applyFont="1" applyFill="1" applyBorder="1" applyProtection="1"/>
    <xf numFmtId="0" fontId="20" fillId="3" borderId="3" xfId="10" applyFont="1" applyFill="1" applyBorder="1" applyAlignment="1" applyProtection="1">
      <alignment vertical="top"/>
    </xf>
    <xf numFmtId="0" fontId="20" fillId="3" borderId="3" xfId="10" applyFont="1" applyFill="1" applyBorder="1" applyAlignment="1" applyProtection="1">
      <alignment vertical="top" wrapText="1"/>
    </xf>
    <xf numFmtId="0" fontId="66" fillId="11" borderId="18" xfId="0" applyFont="1" applyFill="1" applyBorder="1"/>
    <xf numFmtId="0" fontId="5" fillId="11" borderId="0" xfId="0" applyFont="1" applyFill="1" applyBorder="1" applyAlignment="1"/>
    <xf numFmtId="0" fontId="5" fillId="11" borderId="0" xfId="0" applyFont="1" applyFill="1" applyBorder="1"/>
    <xf numFmtId="0" fontId="5" fillId="11" borderId="19" xfId="0" applyFont="1" applyFill="1" applyBorder="1"/>
    <xf numFmtId="0" fontId="89" fillId="11" borderId="18" xfId="0" applyFont="1" applyFill="1" applyBorder="1"/>
    <xf numFmtId="0" fontId="5" fillId="11" borderId="0" xfId="0" applyFont="1" applyFill="1" applyBorder="1" applyAlignment="1">
      <alignment horizontal="center"/>
    </xf>
    <xf numFmtId="0" fontId="5" fillId="11" borderId="0" xfId="0" applyFont="1" applyFill="1" applyBorder="1" applyAlignment="1">
      <alignment horizontal="left" vertical="top" wrapText="1"/>
    </xf>
    <xf numFmtId="0" fontId="45" fillId="11" borderId="18" xfId="0" applyFont="1" applyFill="1" applyBorder="1"/>
    <xf numFmtId="0" fontId="5" fillId="11" borderId="18" xfId="0" applyFont="1" applyFill="1" applyBorder="1" applyAlignment="1">
      <alignment horizontal="center" vertical="top" wrapText="1"/>
    </xf>
    <xf numFmtId="0" fontId="87" fillId="11" borderId="0" xfId="0" applyFont="1" applyFill="1" applyBorder="1" applyAlignment="1">
      <alignment horizontal="center" vertical="top" wrapText="1"/>
    </xf>
    <xf numFmtId="0" fontId="5" fillId="11" borderId="18" xfId="0" applyFont="1" applyFill="1" applyBorder="1" applyAlignment="1">
      <alignment horizontal="center" vertical="top"/>
    </xf>
    <xf numFmtId="0" fontId="89" fillId="11" borderId="18" xfId="0" applyFont="1" applyFill="1" applyBorder="1" applyAlignment="1">
      <alignment vertical="top"/>
    </xf>
    <xf numFmtId="0" fontId="5" fillId="11" borderId="0" xfId="0" applyFont="1" applyFill="1" applyBorder="1" applyAlignment="1">
      <alignment vertical="top" wrapText="1"/>
    </xf>
    <xf numFmtId="0" fontId="5" fillId="11" borderId="0" xfId="0" applyFont="1" applyFill="1" applyBorder="1" applyAlignment="1">
      <alignment vertical="top"/>
    </xf>
    <xf numFmtId="0" fontId="5" fillId="11" borderId="19" xfId="0" applyFont="1" applyFill="1" applyBorder="1" applyAlignment="1">
      <alignment vertical="top"/>
    </xf>
    <xf numFmtId="0" fontId="45" fillId="11" borderId="18" xfId="0" applyFont="1" applyFill="1" applyBorder="1" applyAlignment="1">
      <alignment vertical="top"/>
    </xf>
    <xf numFmtId="0" fontId="5" fillId="11" borderId="20" xfId="0" applyFont="1" applyFill="1" applyBorder="1" applyAlignment="1">
      <alignment horizontal="right" vertical="top"/>
    </xf>
    <xf numFmtId="0" fontId="5" fillId="11" borderId="21" xfId="0" applyFont="1" applyFill="1" applyBorder="1" applyAlignment="1">
      <alignment vertical="top" wrapText="1"/>
    </xf>
    <xf numFmtId="0" fontId="5" fillId="11" borderId="22" xfId="0" applyFont="1" applyFill="1" applyBorder="1" applyAlignment="1">
      <alignment vertical="top" wrapText="1"/>
    </xf>
    <xf numFmtId="0" fontId="20" fillId="3" borderId="3" xfId="10" applyFont="1" applyFill="1" applyBorder="1" applyAlignment="1" applyProtection="1">
      <alignment horizontal="right" wrapText="1"/>
    </xf>
    <xf numFmtId="0" fontId="3" fillId="3" borderId="0" xfId="0" applyFont="1" applyFill="1" applyBorder="1" applyProtection="1"/>
    <xf numFmtId="0" fontId="65" fillId="3" borderId="18" xfId="0" applyFont="1" applyFill="1" applyBorder="1" applyAlignment="1" applyProtection="1">
      <alignment vertical="center"/>
    </xf>
    <xf numFmtId="0" fontId="3" fillId="3" borderId="0" xfId="0" applyFont="1" applyFill="1" applyBorder="1" applyAlignment="1" applyProtection="1">
      <alignment vertical="center"/>
    </xf>
    <xf numFmtId="0" fontId="3" fillId="3" borderId="0" xfId="0" applyFont="1" applyFill="1" applyBorder="1" applyAlignment="1" applyProtection="1">
      <alignment horizontal="center" vertical="center"/>
    </xf>
    <xf numFmtId="3" fontId="3" fillId="3" borderId="0" xfId="0" applyNumberFormat="1" applyFont="1" applyFill="1" applyBorder="1" applyAlignment="1" applyProtection="1">
      <alignment vertical="center"/>
    </xf>
    <xf numFmtId="3" fontId="3" fillId="3" borderId="19" xfId="0" applyNumberFormat="1" applyFont="1" applyFill="1" applyBorder="1" applyAlignment="1" applyProtection="1">
      <alignment vertical="center"/>
    </xf>
    <xf numFmtId="3" fontId="3" fillId="6" borderId="0" xfId="0" applyNumberFormat="1" applyFont="1" applyFill="1" applyBorder="1" applyAlignment="1" applyProtection="1">
      <alignment vertical="center"/>
    </xf>
    <xf numFmtId="3" fontId="5" fillId="2" borderId="0" xfId="0" applyNumberFormat="1" applyFont="1" applyFill="1" applyBorder="1" applyAlignment="1" applyProtection="1">
      <alignment horizontal="center"/>
      <protection locked="0"/>
    </xf>
    <xf numFmtId="0" fontId="20" fillId="9" borderId="36" xfId="0" applyFont="1" applyFill="1" applyBorder="1" applyAlignment="1" applyProtection="1">
      <alignment horizontal="right" vertical="center"/>
    </xf>
    <xf numFmtId="0" fontId="45" fillId="9" borderId="5" xfId="0" applyFont="1" applyFill="1" applyBorder="1" applyAlignment="1" applyProtection="1">
      <alignment horizontal="right"/>
    </xf>
    <xf numFmtId="166" fontId="46" fillId="9" borderId="4" xfId="2" applyNumberFormat="1" applyFont="1" applyFill="1" applyBorder="1" applyAlignment="1" applyProtection="1">
      <alignment horizontal="center"/>
    </xf>
    <xf numFmtId="166" fontId="46" fillId="9" borderId="10" xfId="2" applyNumberFormat="1" applyFont="1" applyFill="1" applyBorder="1" applyAlignment="1" applyProtection="1">
      <alignment horizontal="center"/>
    </xf>
    <xf numFmtId="0" fontId="5" fillId="9" borderId="33" xfId="0" applyFont="1" applyFill="1" applyBorder="1" applyAlignment="1" applyProtection="1">
      <alignment horizontal="center" vertical="center"/>
    </xf>
    <xf numFmtId="3" fontId="5" fillId="9" borderId="33" xfId="0" applyNumberFormat="1" applyFont="1" applyFill="1" applyBorder="1" applyAlignment="1" applyProtection="1">
      <alignment horizontal="center" vertical="center"/>
    </xf>
    <xf numFmtId="3" fontId="5" fillId="9" borderId="34" xfId="0" applyNumberFormat="1" applyFont="1" applyFill="1" applyBorder="1" applyAlignment="1" applyProtection="1">
      <alignment horizontal="center" vertical="center"/>
    </xf>
    <xf numFmtId="3" fontId="5" fillId="9" borderId="9" xfId="0" applyNumberFormat="1" applyFont="1" applyFill="1" applyBorder="1" applyAlignment="1" applyProtection="1">
      <alignment horizontal="center"/>
      <protection locked="0"/>
    </xf>
    <xf numFmtId="3" fontId="5" fillId="9" borderId="9" xfId="0" applyNumberFormat="1" applyFont="1" applyFill="1" applyBorder="1" applyAlignment="1" applyProtection="1">
      <alignment horizontal="center"/>
    </xf>
    <xf numFmtId="166" fontId="11" fillId="6" borderId="0" xfId="2" applyNumberFormat="1" applyFont="1" applyFill="1" applyBorder="1" applyAlignment="1" applyProtection="1">
      <alignment horizontal="center" vertical="top"/>
    </xf>
    <xf numFmtId="3" fontId="5" fillId="2" borderId="0" xfId="0" applyNumberFormat="1" applyFont="1" applyFill="1" applyBorder="1" applyAlignment="1" applyProtection="1">
      <alignment horizontal="center" vertical="center"/>
      <protection locked="0"/>
    </xf>
    <xf numFmtId="0" fontId="3" fillId="3" borderId="0" xfId="0" applyFont="1" applyFill="1" applyBorder="1" applyAlignment="1" applyProtection="1">
      <alignment horizontal="left" vertical="center"/>
    </xf>
    <xf numFmtId="0" fontId="48" fillId="3" borderId="0" xfId="0" applyFont="1" applyFill="1" applyBorder="1" applyAlignment="1" applyProtection="1">
      <alignment horizontal="left" vertical="top" wrapText="1"/>
    </xf>
    <xf numFmtId="0" fontId="22" fillId="3" borderId="0" xfId="0" applyFont="1" applyFill="1" applyBorder="1" applyAlignment="1" applyProtection="1">
      <alignment horizontal="left" vertical="top" wrapText="1"/>
    </xf>
    <xf numFmtId="0" fontId="3" fillId="3" borderId="0" xfId="0" applyFont="1" applyFill="1" applyBorder="1" applyAlignment="1" applyProtection="1"/>
    <xf numFmtId="165" fontId="5" fillId="3" borderId="0" xfId="0" applyNumberFormat="1" applyFont="1" applyFill="1" applyBorder="1" applyAlignment="1" applyProtection="1">
      <alignment horizontal="center" vertical="top"/>
    </xf>
    <xf numFmtId="3" fontId="5" fillId="3" borderId="0" xfId="0" applyNumberFormat="1" applyFont="1" applyFill="1" applyBorder="1" applyAlignment="1" applyProtection="1">
      <alignment vertical="top"/>
    </xf>
    <xf numFmtId="0" fontId="5" fillId="3" borderId="0" xfId="0" applyFont="1" applyFill="1" applyBorder="1" applyAlignment="1" applyProtection="1">
      <alignment vertical="top"/>
    </xf>
    <xf numFmtId="165" fontId="5" fillId="3" borderId="0" xfId="2" applyNumberFormat="1" applyFont="1" applyFill="1" applyBorder="1" applyAlignment="1" applyProtection="1">
      <alignment horizontal="center" vertical="top"/>
    </xf>
    <xf numFmtId="3" fontId="27" fillId="3" borderId="0" xfId="0" applyNumberFormat="1" applyFont="1" applyFill="1" applyBorder="1" applyAlignment="1" applyProtection="1">
      <alignment vertical="top"/>
    </xf>
    <xf numFmtId="166" fontId="11" fillId="3" borderId="31" xfId="2" applyNumberFormat="1" applyFont="1" applyFill="1" applyBorder="1" applyAlignment="1" applyProtection="1">
      <alignment horizontal="center" vertical="top"/>
    </xf>
    <xf numFmtId="166" fontId="11" fillId="3" borderId="7" xfId="2" applyNumberFormat="1" applyFont="1" applyFill="1" applyBorder="1" applyAlignment="1" applyProtection="1">
      <alignment horizontal="center" vertical="top"/>
    </xf>
    <xf numFmtId="0" fontId="22" fillId="3" borderId="3" xfId="0" applyFont="1" applyFill="1" applyBorder="1" applyAlignment="1" applyProtection="1">
      <alignment horizontal="left" vertical="top" wrapText="1"/>
    </xf>
    <xf numFmtId="0" fontId="22" fillId="3" borderId="9" xfId="0" applyFont="1" applyFill="1" applyBorder="1" applyAlignment="1" applyProtection="1">
      <alignment horizontal="left" vertical="top" wrapText="1"/>
    </xf>
    <xf numFmtId="0" fontId="65" fillId="3" borderId="3" xfId="0" applyFont="1" applyFill="1" applyBorder="1" applyAlignment="1" applyProtection="1">
      <alignment horizontal="left" vertical="center"/>
    </xf>
    <xf numFmtId="3" fontId="3" fillId="3" borderId="9" xfId="0" applyNumberFormat="1" applyFont="1" applyFill="1" applyBorder="1" applyAlignment="1" applyProtection="1">
      <alignment vertical="center"/>
    </xf>
    <xf numFmtId="0" fontId="32" fillId="3" borderId="3" xfId="0" applyFont="1" applyFill="1" applyBorder="1" applyAlignment="1" applyProtection="1">
      <alignment horizontal="left" vertical="center"/>
    </xf>
    <xf numFmtId="0" fontId="5" fillId="3" borderId="3" xfId="0" applyFont="1" applyFill="1" applyBorder="1" applyAlignment="1" applyProtection="1">
      <alignment horizontal="left"/>
    </xf>
    <xf numFmtId="3" fontId="5" fillId="3" borderId="3" xfId="0" applyNumberFormat="1" applyFont="1" applyFill="1" applyBorder="1" applyAlignment="1" applyProtection="1">
      <alignment vertical="top"/>
    </xf>
    <xf numFmtId="3" fontId="34" fillId="3" borderId="9" xfId="0" applyNumberFormat="1" applyFont="1" applyFill="1" applyBorder="1" applyAlignment="1" applyProtection="1">
      <alignment vertical="top" wrapText="1"/>
    </xf>
    <xf numFmtId="0" fontId="5" fillId="3" borderId="3" xfId="0" applyFont="1" applyFill="1" applyBorder="1" applyAlignment="1" applyProtection="1">
      <alignment vertical="top"/>
    </xf>
    <xf numFmtId="3" fontId="5" fillId="3" borderId="9" xfId="0" applyNumberFormat="1" applyFont="1" applyFill="1" applyBorder="1" applyAlignment="1" applyProtection="1">
      <alignment vertical="top"/>
    </xf>
    <xf numFmtId="0" fontId="5" fillId="3" borderId="5" xfId="0" applyFont="1" applyFill="1" applyBorder="1" applyAlignment="1" applyProtection="1">
      <alignment vertical="top"/>
    </xf>
    <xf numFmtId="0" fontId="5" fillId="3" borderId="4" xfId="0" applyFont="1" applyFill="1" applyBorder="1" applyAlignment="1" applyProtection="1">
      <alignment vertical="top"/>
    </xf>
    <xf numFmtId="165" fontId="5" fillId="3" borderId="4" xfId="2" applyNumberFormat="1" applyFont="1" applyFill="1" applyBorder="1" applyAlignment="1" applyProtection="1">
      <alignment horizontal="center" vertical="top"/>
    </xf>
    <xf numFmtId="0" fontId="3" fillId="3" borderId="4" xfId="0" applyFont="1" applyFill="1" applyBorder="1" applyProtection="1"/>
    <xf numFmtId="3" fontId="27" fillId="3" borderId="4" xfId="0" applyNumberFormat="1" applyFont="1" applyFill="1" applyBorder="1" applyAlignment="1" applyProtection="1">
      <alignment vertical="top"/>
    </xf>
    <xf numFmtId="3" fontId="5" fillId="3" borderId="10" xfId="0" applyNumberFormat="1" applyFont="1" applyFill="1" applyBorder="1" applyAlignment="1" applyProtection="1">
      <alignment vertical="top"/>
    </xf>
    <xf numFmtId="37" fontId="5" fillId="2" borderId="0" xfId="1" applyNumberFormat="1" applyFont="1" applyFill="1" applyBorder="1" applyAlignment="1" applyProtection="1">
      <alignment horizontal="center" vertical="center"/>
      <protection locked="0"/>
    </xf>
    <xf numFmtId="3" fontId="46" fillId="3" borderId="0" xfId="0" applyNumberFormat="1" applyFont="1" applyFill="1" applyBorder="1" applyAlignment="1" applyProtection="1">
      <alignment vertical="top"/>
    </xf>
    <xf numFmtId="165" fontId="5" fillId="8" borderId="0" xfId="0" applyNumberFormat="1" applyFont="1" applyFill="1" applyBorder="1" applyAlignment="1" applyProtection="1">
      <alignment horizontal="center" vertical="top" wrapText="1"/>
      <protection locked="0"/>
    </xf>
    <xf numFmtId="165" fontId="5" fillId="9" borderId="0" xfId="0" applyNumberFormat="1" applyFont="1" applyFill="1" applyBorder="1" applyAlignment="1" applyProtection="1">
      <alignment horizontal="right"/>
    </xf>
    <xf numFmtId="165" fontId="5" fillId="9" borderId="19" xfId="0" applyNumberFormat="1" applyFont="1" applyFill="1" applyBorder="1" applyAlignment="1" applyProtection="1">
      <alignment horizontal="right"/>
    </xf>
    <xf numFmtId="168" fontId="5" fillId="9" borderId="19" xfId="0" applyNumberFormat="1" applyFont="1" applyFill="1" applyBorder="1" applyProtection="1"/>
    <xf numFmtId="168" fontId="20" fillId="9" borderId="18" xfId="0" applyNumberFormat="1" applyFont="1" applyFill="1" applyBorder="1" applyAlignment="1" applyProtection="1">
      <alignment horizontal="right"/>
    </xf>
    <xf numFmtId="168" fontId="5" fillId="9" borderId="21" xfId="0" applyNumberFormat="1" applyFont="1" applyFill="1" applyBorder="1" applyProtection="1"/>
    <xf numFmtId="168" fontId="5" fillId="9" borderId="22" xfId="0" applyNumberFormat="1" applyFont="1" applyFill="1" applyBorder="1" applyProtection="1"/>
    <xf numFmtId="0" fontId="5" fillId="9" borderId="27" xfId="0" applyFont="1" applyFill="1" applyBorder="1" applyAlignment="1" applyProtection="1">
      <alignment horizontal="right" vertical="center"/>
    </xf>
    <xf numFmtId="0" fontId="5" fillId="9" borderId="28" xfId="0" applyFont="1" applyFill="1" applyBorder="1" applyAlignment="1" applyProtection="1">
      <alignment horizontal="right" vertical="center"/>
    </xf>
    <xf numFmtId="165" fontId="5" fillId="6" borderId="0" xfId="0" applyNumberFormat="1" applyFont="1" applyFill="1" applyBorder="1" applyAlignment="1" applyProtection="1">
      <alignment horizontal="left"/>
    </xf>
    <xf numFmtId="0" fontId="27" fillId="6" borderId="0" xfId="0" applyFont="1" applyFill="1" applyBorder="1" applyProtection="1"/>
    <xf numFmtId="0" fontId="34" fillId="10" borderId="18" xfId="0" applyFont="1" applyFill="1" applyBorder="1" applyAlignment="1" applyProtection="1"/>
    <xf numFmtId="0" fontId="34" fillId="10" borderId="0" xfId="0" applyFont="1" applyFill="1" applyBorder="1" applyAlignment="1" applyProtection="1"/>
    <xf numFmtId="0" fontId="34" fillId="10" borderId="18" xfId="0" applyFont="1" applyFill="1" applyBorder="1" applyAlignment="1" applyProtection="1">
      <alignment horizontal="left"/>
    </xf>
    <xf numFmtId="0" fontId="13" fillId="6" borderId="0" xfId="0" applyFont="1" applyFill="1" applyBorder="1" applyAlignment="1" applyProtection="1">
      <alignment vertical="center"/>
    </xf>
    <xf numFmtId="49" fontId="13" fillId="6" borderId="0" xfId="0" applyNumberFormat="1" applyFont="1" applyFill="1" applyAlignment="1" applyProtection="1">
      <alignment vertical="center"/>
    </xf>
    <xf numFmtId="3" fontId="3" fillId="3" borderId="0" xfId="0" applyNumberFormat="1" applyFont="1" applyFill="1" applyBorder="1" applyAlignment="1" applyProtection="1">
      <alignment horizontal="center" vertical="center"/>
    </xf>
    <xf numFmtId="3" fontId="55" fillId="10" borderId="0" xfId="0" applyNumberFormat="1" applyFont="1" applyFill="1" applyBorder="1" applyAlignment="1" applyProtection="1">
      <alignment horizontal="right" vertical="center"/>
    </xf>
    <xf numFmtId="0" fontId="55" fillId="10" borderId="0" xfId="0" applyFont="1" applyFill="1" applyBorder="1" applyAlignment="1" applyProtection="1">
      <alignment vertical="center"/>
    </xf>
    <xf numFmtId="37" fontId="5" fillId="9" borderId="33" xfId="0" applyNumberFormat="1" applyFont="1" applyFill="1" applyBorder="1" applyAlignment="1" applyProtection="1">
      <alignment horizontal="center" vertical="center"/>
    </xf>
    <xf numFmtId="37" fontId="5" fillId="9" borderId="34" xfId="0" applyNumberFormat="1" applyFont="1" applyFill="1" applyBorder="1" applyAlignment="1" applyProtection="1">
      <alignment horizontal="center" vertical="center"/>
    </xf>
    <xf numFmtId="0" fontId="46" fillId="3" borderId="5" xfId="0" applyFont="1" applyFill="1" applyBorder="1" applyAlignment="1" applyProtection="1">
      <alignment horizontal="left" wrapText="1"/>
    </xf>
    <xf numFmtId="0" fontId="46" fillId="3" borderId="4" xfId="0" applyFont="1" applyFill="1" applyBorder="1" applyAlignment="1" applyProtection="1">
      <alignment horizontal="left" wrapText="1"/>
    </xf>
    <xf numFmtId="0" fontId="55" fillId="10" borderId="0" xfId="0" applyFont="1" applyFill="1" applyBorder="1" applyAlignment="1" applyProtection="1">
      <alignment horizontal="left" vertical="center"/>
    </xf>
    <xf numFmtId="0" fontId="95" fillId="10" borderId="0" xfId="0" applyFont="1" applyFill="1" applyBorder="1" applyAlignment="1" applyProtection="1">
      <alignment horizontal="left" vertical="center" wrapText="1"/>
    </xf>
    <xf numFmtId="165" fontId="54" fillId="9" borderId="0" xfId="0" applyNumberFormat="1" applyFont="1" applyFill="1" applyBorder="1" applyAlignment="1" applyProtection="1">
      <alignment horizontal="right"/>
    </xf>
    <xf numFmtId="165" fontId="54" fillId="9" borderId="19" xfId="0" applyNumberFormat="1" applyFont="1" applyFill="1" applyBorder="1" applyAlignment="1" applyProtection="1">
      <alignment horizontal="right"/>
    </xf>
    <xf numFmtId="168" fontId="5" fillId="9" borderId="0" xfId="0" applyNumberFormat="1" applyFont="1" applyFill="1" applyBorder="1" applyAlignment="1" applyProtection="1">
      <alignment horizontal="right"/>
    </xf>
    <xf numFmtId="168" fontId="5" fillId="9" borderId="19" xfId="0" applyNumberFormat="1" applyFont="1" applyFill="1" applyBorder="1" applyAlignment="1" applyProtection="1">
      <alignment horizontal="right"/>
    </xf>
    <xf numFmtId="168" fontId="5" fillId="9" borderId="21" xfId="0" applyNumberFormat="1" applyFont="1" applyFill="1" applyBorder="1" applyAlignment="1" applyProtection="1">
      <alignment horizontal="right"/>
    </xf>
    <xf numFmtId="168" fontId="5" fillId="9" borderId="22" xfId="0" applyNumberFormat="1" applyFont="1" applyFill="1" applyBorder="1" applyAlignment="1" applyProtection="1">
      <alignment horizontal="right"/>
    </xf>
    <xf numFmtId="37" fontId="5" fillId="9" borderId="27" xfId="0" applyNumberFormat="1" applyFont="1" applyFill="1" applyBorder="1" applyAlignment="1" applyProtection="1">
      <alignment horizontal="right" vertical="center"/>
    </xf>
    <xf numFmtId="37" fontId="5" fillId="9" borderId="28" xfId="0" applyNumberFormat="1" applyFont="1" applyFill="1" applyBorder="1" applyAlignment="1" applyProtection="1">
      <alignment horizontal="right" vertical="center"/>
    </xf>
    <xf numFmtId="37" fontId="5" fillId="9" borderId="0" xfId="0" applyNumberFormat="1" applyFont="1" applyFill="1" applyBorder="1" applyAlignment="1" applyProtection="1">
      <alignment horizontal="right"/>
    </xf>
    <xf numFmtId="37" fontId="5" fillId="9" borderId="19" xfId="0" applyNumberFormat="1" applyFont="1" applyFill="1" applyBorder="1" applyAlignment="1" applyProtection="1">
      <alignment horizontal="right"/>
    </xf>
    <xf numFmtId="3" fontId="5" fillId="9" borderId="0" xfId="0" applyNumberFormat="1" applyFont="1" applyFill="1" applyBorder="1" applyAlignment="1" applyProtection="1">
      <alignment horizontal="right"/>
    </xf>
    <xf numFmtId="3" fontId="5" fillId="9" borderId="19" xfId="0" applyNumberFormat="1" applyFont="1" applyFill="1" applyBorder="1" applyAlignment="1" applyProtection="1">
      <alignment horizontal="right"/>
    </xf>
    <xf numFmtId="166" fontId="62" fillId="9" borderId="0" xfId="0" applyNumberFormat="1" applyFont="1" applyFill="1" applyBorder="1" applyAlignment="1" applyProtection="1">
      <alignment horizontal="right"/>
    </xf>
    <xf numFmtId="166" fontId="62" fillId="9" borderId="19" xfId="0" applyNumberFormat="1" applyFont="1" applyFill="1" applyBorder="1" applyAlignment="1" applyProtection="1">
      <alignment horizontal="right"/>
    </xf>
    <xf numFmtId="0" fontId="60" fillId="9" borderId="18" xfId="0" applyFont="1" applyFill="1" applyBorder="1" applyAlignment="1" applyProtection="1">
      <alignment horizontal="right"/>
    </xf>
    <xf numFmtId="0" fontId="98" fillId="9" borderId="18" xfId="0" applyFont="1" applyFill="1" applyBorder="1" applyAlignment="1" applyProtection="1">
      <alignment horizontal="right"/>
    </xf>
    <xf numFmtId="3" fontId="62" fillId="9" borderId="0" xfId="0" applyNumberFormat="1" applyFont="1" applyFill="1" applyBorder="1" applyAlignment="1" applyProtection="1">
      <alignment horizontal="right"/>
    </xf>
    <xf numFmtId="3" fontId="62" fillId="9" borderId="19" xfId="0" applyNumberFormat="1" applyFont="1" applyFill="1" applyBorder="1" applyAlignment="1" applyProtection="1">
      <alignment horizontal="right"/>
    </xf>
    <xf numFmtId="168" fontId="34" fillId="10" borderId="0" xfId="0" applyNumberFormat="1" applyFont="1" applyFill="1" applyBorder="1" applyAlignment="1" applyProtection="1">
      <alignment horizontal="center" vertical="center"/>
    </xf>
    <xf numFmtId="168" fontId="55" fillId="10" borderId="0" xfId="0" applyNumberFormat="1" applyFont="1" applyFill="1" applyBorder="1" applyAlignment="1" applyProtection="1">
      <alignment horizontal="center" vertical="center"/>
    </xf>
    <xf numFmtId="0" fontId="20" fillId="10" borderId="0" xfId="0" applyFont="1" applyFill="1" applyBorder="1" applyAlignment="1" applyProtection="1">
      <alignment horizontal="right"/>
    </xf>
    <xf numFmtId="168" fontId="5" fillId="10" borderId="0" xfId="0" applyNumberFormat="1" applyFont="1" applyFill="1" applyBorder="1" applyAlignment="1" applyProtection="1"/>
    <xf numFmtId="9" fontId="46" fillId="10" borderId="0" xfId="2" applyFont="1" applyFill="1" applyBorder="1" applyProtection="1"/>
    <xf numFmtId="9" fontId="46" fillId="10" borderId="0" xfId="2" applyFont="1" applyFill="1" applyBorder="1" applyAlignment="1" applyProtection="1">
      <alignment horizontal="right"/>
    </xf>
    <xf numFmtId="37" fontId="20" fillId="9" borderId="35" xfId="0" applyNumberFormat="1" applyFont="1" applyFill="1" applyBorder="1" applyAlignment="1" applyProtection="1">
      <alignment horizontal="right" vertical="center"/>
    </xf>
    <xf numFmtId="37" fontId="5" fillId="9" borderId="11" xfId="0" applyNumberFormat="1" applyFont="1" applyFill="1" applyBorder="1" applyAlignment="1" applyProtection="1">
      <alignment horizontal="center" vertical="center"/>
    </xf>
    <xf numFmtId="0" fontId="5" fillId="3" borderId="10" xfId="0" applyFont="1" applyFill="1" applyBorder="1" applyAlignment="1" applyProtection="1">
      <alignment horizontal="center"/>
    </xf>
    <xf numFmtId="37" fontId="14" fillId="3" borderId="31" xfId="0" applyNumberFormat="1" applyFont="1" applyFill="1" applyBorder="1" applyAlignment="1" applyProtection="1">
      <alignment horizontal="center"/>
    </xf>
    <xf numFmtId="0" fontId="9" fillId="3" borderId="31" xfId="0" applyFont="1" applyFill="1" applyBorder="1" applyAlignment="1" applyProtection="1">
      <alignment horizontal="center"/>
    </xf>
    <xf numFmtId="0" fontId="3" fillId="3" borderId="7" xfId="0" applyFont="1" applyFill="1" applyBorder="1" applyAlignment="1" applyProtection="1">
      <alignment horizontal="left"/>
    </xf>
    <xf numFmtId="0" fontId="9" fillId="3" borderId="9" xfId="0" applyFont="1" applyFill="1" applyBorder="1" applyAlignment="1" applyProtection="1">
      <alignment horizontal="center"/>
    </xf>
    <xf numFmtId="0" fontId="9" fillId="3" borderId="9" xfId="0" applyFont="1" applyFill="1" applyBorder="1" applyAlignment="1" applyProtection="1">
      <alignment horizontal="center" vertical="top"/>
    </xf>
    <xf numFmtId="37" fontId="20" fillId="9" borderId="40" xfId="0" applyNumberFormat="1" applyFont="1" applyFill="1" applyBorder="1" applyAlignment="1" applyProtection="1">
      <alignment horizontal="right" vertical="center"/>
    </xf>
    <xf numFmtId="37" fontId="5" fillId="9" borderId="11" xfId="0" applyNumberFormat="1" applyFont="1" applyFill="1" applyBorder="1" applyAlignment="1" applyProtection="1">
      <alignment horizontal="right" vertical="center"/>
    </xf>
    <xf numFmtId="0" fontId="13" fillId="10" borderId="6" xfId="0" applyFont="1" applyFill="1" applyBorder="1" applyProtection="1"/>
    <xf numFmtId="0" fontId="13" fillId="10" borderId="31" xfId="0" applyFont="1" applyFill="1" applyBorder="1" applyProtection="1"/>
    <xf numFmtId="3" fontId="13" fillId="10" borderId="31" xfId="0" applyNumberFormat="1" applyFont="1" applyFill="1" applyBorder="1" applyProtection="1"/>
    <xf numFmtId="3" fontId="13" fillId="10" borderId="7" xfId="0" applyNumberFormat="1" applyFont="1" applyFill="1" applyBorder="1" applyProtection="1"/>
    <xf numFmtId="0" fontId="55" fillId="10" borderId="3" xfId="0" applyFont="1" applyFill="1" applyBorder="1" applyAlignment="1" applyProtection="1">
      <alignment vertical="center"/>
    </xf>
    <xf numFmtId="0" fontId="13" fillId="10" borderId="0" xfId="0" applyFont="1" applyFill="1" applyBorder="1" applyAlignment="1" applyProtection="1">
      <alignment vertical="center"/>
    </xf>
    <xf numFmtId="168" fontId="55" fillId="10" borderId="0" xfId="0" applyNumberFormat="1" applyFont="1" applyFill="1" applyBorder="1" applyAlignment="1" applyProtection="1">
      <alignment vertical="center"/>
    </xf>
    <xf numFmtId="0" fontId="5" fillId="10" borderId="0" xfId="0" applyFont="1" applyFill="1" applyBorder="1" applyAlignment="1" applyProtection="1">
      <alignment vertical="center"/>
    </xf>
    <xf numFmtId="3" fontId="13" fillId="10" borderId="0" xfId="0" applyNumberFormat="1" applyFont="1" applyFill="1" applyBorder="1" applyAlignment="1" applyProtection="1">
      <alignment vertical="center"/>
    </xf>
    <xf numFmtId="3" fontId="13" fillId="10" borderId="9" xfId="0" applyNumberFormat="1" applyFont="1" applyFill="1" applyBorder="1" applyAlignment="1" applyProtection="1">
      <alignment vertical="center"/>
    </xf>
    <xf numFmtId="9" fontId="46" fillId="10" borderId="0" xfId="2" applyFont="1" applyFill="1" applyBorder="1" applyAlignment="1" applyProtection="1"/>
    <xf numFmtId="0" fontId="46" fillId="10" borderId="0" xfId="0" applyFont="1" applyFill="1" applyBorder="1" applyAlignment="1" applyProtection="1"/>
    <xf numFmtId="3" fontId="13" fillId="10" borderId="9" xfId="0" applyNumberFormat="1" applyFont="1" applyFill="1" applyBorder="1" applyProtection="1"/>
    <xf numFmtId="3" fontId="46" fillId="10" borderId="0" xfId="0" applyNumberFormat="1" applyFont="1" applyFill="1" applyBorder="1" applyAlignment="1" applyProtection="1"/>
    <xf numFmtId="0" fontId="13" fillId="10" borderId="3" xfId="0" applyFont="1" applyFill="1" applyBorder="1" applyProtection="1"/>
    <xf numFmtId="0" fontId="13" fillId="10" borderId="5" xfId="0" applyFont="1" applyFill="1" applyBorder="1" applyProtection="1"/>
    <xf numFmtId="0" fontId="13" fillId="10" borderId="4" xfId="0" applyFont="1" applyFill="1" applyBorder="1" applyProtection="1"/>
    <xf numFmtId="3" fontId="13" fillId="10" borderId="4" xfId="0" applyNumberFormat="1" applyFont="1" applyFill="1" applyBorder="1" applyProtection="1"/>
    <xf numFmtId="3" fontId="13" fillId="10" borderId="10" xfId="0" applyNumberFormat="1" applyFont="1" applyFill="1" applyBorder="1" applyProtection="1"/>
    <xf numFmtId="0" fontId="22" fillId="10" borderId="3" xfId="0" applyFont="1" applyFill="1" applyBorder="1" applyAlignment="1" applyProtection="1">
      <alignment horizontal="left"/>
    </xf>
    <xf numFmtId="3" fontId="9" fillId="10" borderId="9" xfId="0" applyNumberFormat="1" applyFont="1" applyFill="1" applyBorder="1" applyAlignment="1" applyProtection="1">
      <alignment horizontal="center"/>
    </xf>
    <xf numFmtId="0" fontId="95" fillId="10" borderId="3" xfId="0" applyFont="1" applyFill="1" applyBorder="1" applyAlignment="1" applyProtection="1">
      <alignment horizontal="left" vertical="center" wrapText="1"/>
    </xf>
    <xf numFmtId="0" fontId="34" fillId="10" borderId="5" xfId="0" applyFont="1" applyFill="1" applyBorder="1" applyAlignment="1" applyProtection="1">
      <alignment horizontal="left"/>
    </xf>
    <xf numFmtId="0" fontId="9" fillId="10" borderId="4" xfId="0" applyFont="1" applyFill="1" applyBorder="1" applyAlignment="1" applyProtection="1">
      <alignment horizontal="center"/>
    </xf>
    <xf numFmtId="3" fontId="9" fillId="10" borderId="4" xfId="0" applyNumberFormat="1" applyFont="1" applyFill="1" applyBorder="1" applyAlignment="1" applyProtection="1">
      <alignment horizontal="center"/>
    </xf>
    <xf numFmtId="3" fontId="9" fillId="10" borderId="10" xfId="0" applyNumberFormat="1" applyFont="1" applyFill="1" applyBorder="1" applyAlignment="1" applyProtection="1">
      <alignment horizontal="center"/>
    </xf>
    <xf numFmtId="9" fontId="46" fillId="10" borderId="0" xfId="2" applyFont="1" applyFill="1" applyBorder="1" applyAlignment="1" applyProtection="1">
      <alignment horizontal="left"/>
    </xf>
    <xf numFmtId="9" fontId="3" fillId="10" borderId="0" xfId="2" applyFont="1" applyFill="1" applyBorder="1" applyAlignment="1" applyProtection="1"/>
    <xf numFmtId="0" fontId="10" fillId="10" borderId="6" xfId="0" applyFont="1" applyFill="1" applyBorder="1" applyProtection="1"/>
    <xf numFmtId="168" fontId="3" fillId="10" borderId="31" xfId="0" applyNumberFormat="1" applyFont="1" applyFill="1" applyBorder="1" applyAlignment="1" applyProtection="1"/>
    <xf numFmtId="168" fontId="3" fillId="10" borderId="7" xfId="0" applyNumberFormat="1" applyFont="1" applyFill="1" applyBorder="1" applyAlignment="1" applyProtection="1"/>
    <xf numFmtId="168" fontId="5" fillId="10" borderId="9" xfId="0" applyNumberFormat="1" applyFont="1" applyFill="1" applyBorder="1" applyAlignment="1" applyProtection="1"/>
    <xf numFmtId="0" fontId="55" fillId="10" borderId="3" xfId="0" applyFont="1" applyFill="1" applyBorder="1" applyProtection="1"/>
    <xf numFmtId="168" fontId="3" fillId="10" borderId="9" xfId="0" applyNumberFormat="1" applyFont="1" applyFill="1" applyBorder="1" applyAlignment="1" applyProtection="1"/>
    <xf numFmtId="0" fontId="20" fillId="10" borderId="3" xfId="0" applyFont="1" applyFill="1" applyBorder="1" applyAlignment="1" applyProtection="1">
      <alignment horizontal="right"/>
    </xf>
    <xf numFmtId="0" fontId="3" fillId="10" borderId="3" xfId="0" applyFont="1" applyFill="1" applyBorder="1" applyAlignment="1" applyProtection="1">
      <alignment horizontal="right"/>
    </xf>
    <xf numFmtId="0" fontId="3" fillId="10" borderId="9" xfId="0" applyFont="1" applyFill="1" applyBorder="1" applyProtection="1"/>
    <xf numFmtId="168" fontId="3" fillId="10" borderId="3" xfId="0" applyNumberFormat="1" applyFont="1" applyFill="1" applyBorder="1" applyProtection="1"/>
    <xf numFmtId="0" fontId="21" fillId="10" borderId="3" xfId="0" applyFont="1" applyFill="1" applyBorder="1" applyAlignment="1" applyProtection="1">
      <alignment vertical="center"/>
    </xf>
    <xf numFmtId="0" fontId="22" fillId="10" borderId="3" xfId="0" applyFont="1" applyFill="1" applyBorder="1" applyProtection="1"/>
    <xf numFmtId="0" fontId="3" fillId="10" borderId="3" xfId="0" applyFont="1" applyFill="1" applyBorder="1" applyAlignment="1" applyProtection="1">
      <alignment horizontal="center"/>
    </xf>
    <xf numFmtId="0" fontId="3" fillId="10" borderId="9" xfId="0" applyFont="1" applyFill="1" applyBorder="1" applyAlignment="1" applyProtection="1">
      <alignment horizontal="center"/>
    </xf>
    <xf numFmtId="3" fontId="3" fillId="10" borderId="9" xfId="0" applyNumberFormat="1" applyFont="1" applyFill="1" applyBorder="1" applyProtection="1"/>
    <xf numFmtId="0" fontId="3" fillId="10" borderId="5" xfId="0" applyFont="1" applyFill="1" applyBorder="1" applyProtection="1"/>
    <xf numFmtId="0" fontId="3" fillId="10" borderId="4" xfId="0" applyFont="1" applyFill="1" applyBorder="1" applyProtection="1"/>
    <xf numFmtId="3" fontId="3" fillId="10" borderId="4" xfId="0" applyNumberFormat="1" applyFont="1" applyFill="1" applyBorder="1" applyProtection="1"/>
    <xf numFmtId="3" fontId="3" fillId="10" borderId="10" xfId="0" applyNumberFormat="1" applyFont="1" applyFill="1" applyBorder="1" applyProtection="1"/>
    <xf numFmtId="0" fontId="4" fillId="0" borderId="0" xfId="8" applyAlignment="1">
      <alignment horizontal="center" vertical="center"/>
    </xf>
    <xf numFmtId="0" fontId="34" fillId="9" borderId="18" xfId="8" applyFont="1" applyFill="1" applyBorder="1"/>
    <xf numFmtId="168" fontId="34" fillId="9" borderId="0" xfId="8" applyNumberFormat="1" applyFont="1" applyFill="1" applyBorder="1" applyAlignment="1">
      <alignment horizontal="right"/>
    </xf>
    <xf numFmtId="168" fontId="35" fillId="9" borderId="19" xfId="8" applyNumberFormat="1" applyFont="1" applyFill="1" applyBorder="1" applyAlignment="1">
      <alignment horizontal="right"/>
    </xf>
    <xf numFmtId="168" fontId="5" fillId="9" borderId="0" xfId="8" applyNumberFormat="1" applyFont="1" applyFill="1" applyBorder="1" applyAlignment="1">
      <alignment horizontal="right"/>
    </xf>
    <xf numFmtId="168" fontId="46" fillId="9" borderId="19" xfId="8" applyNumberFormat="1" applyFont="1" applyFill="1" applyBorder="1" applyAlignment="1">
      <alignment horizontal="right"/>
    </xf>
    <xf numFmtId="168" fontId="5" fillId="9" borderId="21" xfId="8" applyNumberFormat="1" applyFont="1" applyFill="1" applyBorder="1" applyAlignment="1">
      <alignment horizontal="right"/>
    </xf>
    <xf numFmtId="168" fontId="46" fillId="9" borderId="22" xfId="8" applyNumberFormat="1" applyFont="1" applyFill="1" applyBorder="1" applyAlignment="1">
      <alignment horizontal="right"/>
    </xf>
    <xf numFmtId="3" fontId="38" fillId="6" borderId="0" xfId="0" applyNumberFormat="1" applyFont="1" applyFill="1" applyBorder="1" applyAlignment="1" applyProtection="1">
      <alignment vertical="top"/>
    </xf>
    <xf numFmtId="0" fontId="5" fillId="6" borderId="0" xfId="0" applyFont="1" applyFill="1" applyBorder="1" applyAlignment="1" applyProtection="1">
      <alignment vertical="top"/>
    </xf>
    <xf numFmtId="0" fontId="5" fillId="3" borderId="31" xfId="0" applyFont="1" applyFill="1" applyBorder="1" applyProtection="1"/>
    <xf numFmtId="0" fontId="5" fillId="3" borderId="7" xfId="0" applyFont="1" applyFill="1" applyBorder="1" applyProtection="1"/>
    <xf numFmtId="0" fontId="5" fillId="3" borderId="0" xfId="0" applyFont="1" applyFill="1" applyBorder="1" applyAlignment="1" applyProtection="1">
      <alignment vertical="center"/>
    </xf>
    <xf numFmtId="0" fontId="5" fillId="3" borderId="4" xfId="0" applyFont="1" applyFill="1" applyBorder="1" applyAlignment="1" applyProtection="1">
      <alignment vertical="center"/>
    </xf>
    <xf numFmtId="0" fontId="5" fillId="3" borderId="9" xfId="0" applyFont="1" applyFill="1" applyBorder="1" applyProtection="1"/>
    <xf numFmtId="0" fontId="5" fillId="3" borderId="9" xfId="0" applyFont="1" applyFill="1" applyBorder="1" applyAlignment="1" applyProtection="1">
      <alignment vertical="center"/>
    </xf>
    <xf numFmtId="0" fontId="5" fillId="3" borderId="10" xfId="0" applyFont="1" applyFill="1" applyBorder="1" applyAlignment="1" applyProtection="1">
      <alignment vertical="center"/>
    </xf>
    <xf numFmtId="0" fontId="5" fillId="3" borderId="31" xfId="0" applyFont="1" applyFill="1" applyBorder="1" applyAlignment="1" applyProtection="1">
      <alignment vertical="top"/>
    </xf>
    <xf numFmtId="3" fontId="5" fillId="3" borderId="7" xfId="0" applyNumberFormat="1" applyFont="1" applyFill="1" applyBorder="1" applyAlignment="1" applyProtection="1">
      <alignment vertical="top"/>
    </xf>
    <xf numFmtId="0" fontId="5" fillId="3" borderId="3" xfId="0" applyFont="1" applyFill="1" applyBorder="1" applyProtection="1"/>
    <xf numFmtId="3" fontId="5" fillId="3" borderId="9" xfId="0" applyNumberFormat="1" applyFont="1" applyFill="1" applyBorder="1" applyProtection="1"/>
    <xf numFmtId="0" fontId="21" fillId="3" borderId="3" xfId="0" applyFont="1" applyFill="1" applyBorder="1" applyProtection="1"/>
    <xf numFmtId="169" fontId="5" fillId="6" borderId="0" xfId="0" applyNumberFormat="1" applyFont="1" applyFill="1" applyBorder="1" applyProtection="1"/>
    <xf numFmtId="0" fontId="38" fillId="6" borderId="0" xfId="0" applyFont="1" applyFill="1" applyBorder="1" applyAlignment="1" applyProtection="1">
      <alignment horizontal="center" vertical="top"/>
    </xf>
    <xf numFmtId="0" fontId="38" fillId="6" borderId="0" xfId="0" applyFont="1" applyFill="1" applyAlignment="1" applyProtection="1">
      <alignment horizontal="center" vertical="top"/>
    </xf>
    <xf numFmtId="3" fontId="75" fillId="6" borderId="0" xfId="0" applyNumberFormat="1" applyFont="1" applyFill="1" applyBorder="1" applyAlignment="1" applyProtection="1">
      <alignment vertical="top"/>
    </xf>
    <xf numFmtId="0" fontId="75" fillId="6" borderId="0" xfId="0" applyFont="1" applyFill="1" applyBorder="1" applyAlignment="1" applyProtection="1">
      <alignment vertical="top"/>
    </xf>
    <xf numFmtId="0" fontId="34" fillId="6" borderId="0" xfId="0" applyFont="1" applyFill="1" applyBorder="1" applyAlignment="1" applyProtection="1">
      <alignment vertical="top"/>
    </xf>
    <xf numFmtId="0" fontId="5" fillId="9" borderId="3" xfId="0" applyFont="1" applyFill="1" applyBorder="1" applyAlignment="1" applyProtection="1">
      <alignment horizontal="center"/>
    </xf>
    <xf numFmtId="3" fontId="5" fillId="8" borderId="0" xfId="0" applyNumberFormat="1" applyFont="1" applyFill="1" applyBorder="1" applyAlignment="1" applyProtection="1">
      <alignment horizontal="center"/>
      <protection locked="0"/>
    </xf>
    <xf numFmtId="3" fontId="5" fillId="9" borderId="0" xfId="0" applyNumberFormat="1" applyFont="1" applyFill="1" applyBorder="1" applyAlignment="1" applyProtection="1">
      <alignment horizontal="center"/>
      <protection locked="0"/>
    </xf>
    <xf numFmtId="3" fontId="5" fillId="8" borderId="4" xfId="0" applyNumberFormat="1" applyFont="1" applyFill="1" applyBorder="1" applyAlignment="1" applyProtection="1">
      <alignment horizontal="center"/>
      <protection locked="0"/>
    </xf>
    <xf numFmtId="3" fontId="5" fillId="9" borderId="4" xfId="0" applyNumberFormat="1" applyFont="1" applyFill="1" applyBorder="1" applyAlignment="1" applyProtection="1">
      <alignment horizontal="center"/>
      <protection locked="0"/>
    </xf>
    <xf numFmtId="3" fontId="5" fillId="9" borderId="10" xfId="0" applyNumberFormat="1" applyFont="1" applyFill="1" applyBorder="1" applyAlignment="1" applyProtection="1">
      <alignment horizontal="center"/>
      <protection locked="0"/>
    </xf>
    <xf numFmtId="3" fontId="5" fillId="8" borderId="41" xfId="0" applyNumberFormat="1" applyFont="1" applyFill="1" applyBorder="1" applyAlignment="1" applyProtection="1">
      <alignment horizontal="center" vertical="center"/>
      <protection locked="0"/>
    </xf>
    <xf numFmtId="3" fontId="5" fillId="9" borderId="42" xfId="0" applyNumberFormat="1" applyFont="1" applyFill="1" applyBorder="1" applyAlignment="1" applyProtection="1">
      <alignment horizontal="center" vertical="center"/>
    </xf>
    <xf numFmtId="0" fontId="5" fillId="9" borderId="6" xfId="0" applyFont="1" applyFill="1" applyBorder="1" applyAlignment="1" applyProtection="1">
      <alignment horizontal="right" wrapText="1"/>
    </xf>
    <xf numFmtId="0" fontId="20" fillId="3" borderId="3" xfId="0" applyFont="1" applyFill="1" applyBorder="1" applyAlignment="1" applyProtection="1">
      <alignment horizontal="right" vertical="center"/>
    </xf>
    <xf numFmtId="0" fontId="65" fillId="3" borderId="5" xfId="0" applyFont="1" applyFill="1" applyBorder="1" applyAlignment="1" applyProtection="1">
      <alignment horizontal="left" vertical="top" wrapText="1"/>
    </xf>
    <xf numFmtId="0" fontId="65" fillId="3" borderId="4" xfId="0" applyFont="1" applyFill="1" applyBorder="1" applyAlignment="1" applyProtection="1">
      <alignment horizontal="left" vertical="top" wrapText="1"/>
    </xf>
    <xf numFmtId="0" fontId="65" fillId="3" borderId="10" xfId="0" applyFont="1" applyFill="1" applyBorder="1" applyAlignment="1" applyProtection="1">
      <alignment horizontal="left" vertical="top" wrapText="1"/>
    </xf>
    <xf numFmtId="0" fontId="20" fillId="9" borderId="36" xfId="0" applyFont="1" applyFill="1" applyBorder="1" applyAlignment="1" applyProtection="1">
      <alignment horizontal="center"/>
    </xf>
    <xf numFmtId="0" fontId="20" fillId="9" borderId="33" xfId="0" applyFont="1" applyFill="1" applyBorder="1" applyAlignment="1" applyProtection="1">
      <alignment horizontal="center" vertical="center" wrapText="1"/>
    </xf>
    <xf numFmtId="0" fontId="20" fillId="9" borderId="34" xfId="0" applyFont="1" applyFill="1" applyBorder="1" applyAlignment="1" applyProtection="1">
      <alignment horizontal="center" vertical="center" wrapText="1"/>
    </xf>
    <xf numFmtId="0" fontId="99" fillId="3" borderId="0" xfId="17" applyFont="1" applyFill="1" applyBorder="1" applyProtection="1"/>
    <xf numFmtId="0" fontId="5" fillId="3" borderId="6" xfId="0" applyFont="1" applyFill="1" applyBorder="1" applyProtection="1"/>
    <xf numFmtId="0" fontId="5" fillId="3" borderId="9" xfId="0" applyFont="1" applyFill="1" applyBorder="1" applyAlignment="1" applyProtection="1">
      <alignment horizontal="center" vertical="center" wrapText="1"/>
    </xf>
    <xf numFmtId="0" fontId="5" fillId="3" borderId="5" xfId="0" applyFont="1" applyFill="1" applyBorder="1" applyProtection="1"/>
    <xf numFmtId="0" fontId="5" fillId="3" borderId="4" xfId="0" applyFont="1" applyFill="1" applyBorder="1" applyProtection="1"/>
    <xf numFmtId="0" fontId="5" fillId="3" borderId="10" xfId="0" applyFont="1" applyFill="1" applyBorder="1" applyProtection="1"/>
    <xf numFmtId="0" fontId="27" fillId="9" borderId="34" xfId="10" applyFont="1" applyFill="1" applyBorder="1" applyAlignment="1" applyProtection="1">
      <alignment horizontal="center" vertical="center" wrapText="1"/>
    </xf>
    <xf numFmtId="166" fontId="5" fillId="8" borderId="9" xfId="2" applyNumberFormat="1" applyFont="1" applyFill="1" applyBorder="1" applyAlignment="1" applyProtection="1">
      <alignment horizontal="center" vertical="center"/>
      <protection locked="0"/>
    </xf>
    <xf numFmtId="0" fontId="20" fillId="9" borderId="36" xfId="0" applyFont="1" applyFill="1" applyBorder="1" applyProtection="1"/>
    <xf numFmtId="0" fontId="5" fillId="9" borderId="33" xfId="0" applyFont="1" applyFill="1" applyBorder="1" applyProtection="1"/>
    <xf numFmtId="0" fontId="5" fillId="3" borderId="5" xfId="0" applyFont="1" applyFill="1" applyBorder="1" applyAlignment="1" applyProtection="1">
      <alignment horizontal="left" vertical="top" wrapText="1"/>
    </xf>
    <xf numFmtId="0" fontId="5" fillId="3" borderId="4" xfId="0" applyFont="1" applyFill="1" applyBorder="1" applyAlignment="1" applyProtection="1">
      <alignment horizontal="left" vertical="top" wrapText="1"/>
    </xf>
    <xf numFmtId="166" fontId="5" fillId="9" borderId="9" xfId="2" applyNumberFormat="1" applyFont="1" applyFill="1" applyBorder="1" applyAlignment="1" applyProtection="1">
      <alignment horizontal="center" vertical="center"/>
      <protection locked="0"/>
    </xf>
    <xf numFmtId="166" fontId="5" fillId="9" borderId="10" xfId="2" applyNumberFormat="1" applyFont="1" applyFill="1" applyBorder="1" applyAlignment="1" applyProtection="1">
      <alignment horizontal="center" vertical="center"/>
      <protection locked="0"/>
    </xf>
    <xf numFmtId="0" fontId="5" fillId="9" borderId="0" xfId="0" applyFont="1" applyFill="1" applyBorder="1" applyAlignment="1" applyProtection="1">
      <alignment vertical="center"/>
    </xf>
    <xf numFmtId="0" fontId="5" fillId="9" borderId="0" xfId="0" applyFont="1" applyFill="1" applyBorder="1" applyAlignment="1" applyProtection="1">
      <alignment vertical="center" wrapText="1"/>
    </xf>
    <xf numFmtId="0" fontId="5" fillId="9" borderId="3" xfId="0" applyFont="1" applyFill="1" applyBorder="1" applyAlignment="1" applyProtection="1">
      <alignment vertical="center"/>
    </xf>
    <xf numFmtId="0" fontId="5" fillId="9" borderId="5" xfId="0" applyFont="1" applyFill="1" applyBorder="1" applyAlignment="1" applyProtection="1">
      <alignment vertical="center" wrapText="1"/>
    </xf>
    <xf numFmtId="0" fontId="5" fillId="9" borderId="4" xfId="0" applyFont="1" applyFill="1" applyBorder="1" applyAlignment="1" applyProtection="1">
      <alignment vertical="center"/>
    </xf>
    <xf numFmtId="0" fontId="5" fillId="9" borderId="36" xfId="0" applyFont="1" applyFill="1" applyBorder="1" applyAlignment="1" applyProtection="1">
      <alignment vertical="center"/>
    </xf>
    <xf numFmtId="0" fontId="5" fillId="9" borderId="33" xfId="0" applyFont="1" applyFill="1" applyBorder="1" applyAlignment="1" applyProtection="1">
      <alignment vertical="center"/>
    </xf>
    <xf numFmtId="0" fontId="46" fillId="9" borderId="0" xfId="0" applyFont="1" applyFill="1" applyBorder="1" applyAlignment="1" applyProtection="1">
      <alignment vertical="center"/>
    </xf>
    <xf numFmtId="3" fontId="46" fillId="9" borderId="9" xfId="0" applyNumberFormat="1" applyFont="1" applyFill="1" applyBorder="1" applyAlignment="1" applyProtection="1">
      <alignment vertical="center"/>
    </xf>
    <xf numFmtId="0" fontId="46" fillId="9" borderId="4" xfId="0" applyFont="1" applyFill="1" applyBorder="1" applyAlignment="1" applyProtection="1">
      <alignment vertical="center"/>
    </xf>
    <xf numFmtId="3" fontId="46" fillId="9" borderId="10" xfId="0" applyNumberFormat="1" applyFont="1" applyFill="1" applyBorder="1" applyAlignment="1" applyProtection="1">
      <alignment vertical="center"/>
    </xf>
    <xf numFmtId="0" fontId="48" fillId="3" borderId="3" xfId="0" applyFont="1" applyFill="1" applyBorder="1" applyAlignment="1" applyProtection="1">
      <alignment horizontal="left" vertical="top" wrapText="1"/>
    </xf>
    <xf numFmtId="0" fontId="48" fillId="3" borderId="9" xfId="0" applyFont="1" applyFill="1" applyBorder="1" applyAlignment="1" applyProtection="1">
      <alignment horizontal="left" vertical="top" wrapText="1"/>
    </xf>
    <xf numFmtId="3" fontId="5" fillId="3" borderId="10" xfId="0" applyNumberFormat="1" applyFont="1" applyFill="1" applyBorder="1" applyProtection="1"/>
    <xf numFmtId="0" fontId="46" fillId="9" borderId="0" xfId="0" applyFont="1" applyFill="1" applyBorder="1" applyAlignment="1" applyProtection="1">
      <alignment horizontal="right" vertical="center"/>
    </xf>
    <xf numFmtId="0" fontId="5" fillId="9" borderId="3" xfId="0" applyFont="1" applyFill="1" applyBorder="1" applyAlignment="1" applyProtection="1">
      <alignment vertical="center" wrapText="1"/>
    </xf>
    <xf numFmtId="0" fontId="5" fillId="9" borderId="4" xfId="0" applyFont="1" applyFill="1" applyBorder="1" applyAlignment="1" applyProtection="1">
      <alignment vertical="center" wrapText="1"/>
    </xf>
    <xf numFmtId="0" fontId="46" fillId="9" borderId="4" xfId="0" applyFont="1" applyFill="1" applyBorder="1" applyAlignment="1" applyProtection="1">
      <alignment horizontal="right" vertical="center"/>
    </xf>
    <xf numFmtId="0" fontId="5" fillId="3" borderId="5" xfId="0" applyFont="1" applyFill="1" applyBorder="1" applyAlignment="1" applyProtection="1">
      <alignment vertical="center" wrapText="1"/>
    </xf>
    <xf numFmtId="0" fontId="5" fillId="3" borderId="4" xfId="0" applyFont="1" applyFill="1" applyBorder="1" applyAlignment="1" applyProtection="1">
      <alignment vertical="center" wrapText="1"/>
    </xf>
    <xf numFmtId="0" fontId="46" fillId="3" borderId="4" xfId="0" applyFont="1" applyFill="1" applyBorder="1" applyAlignment="1" applyProtection="1">
      <alignment horizontal="right" vertical="center"/>
    </xf>
    <xf numFmtId="3" fontId="46" fillId="3" borderId="10" xfId="0" applyNumberFormat="1" applyFont="1" applyFill="1" applyBorder="1" applyAlignment="1" applyProtection="1">
      <alignment vertical="center"/>
    </xf>
    <xf numFmtId="168" fontId="5" fillId="10" borderId="0" xfId="0" applyNumberFormat="1" applyFont="1" applyFill="1" applyBorder="1" applyAlignment="1" applyProtection="1">
      <alignment horizontal="center" vertical="top"/>
    </xf>
    <xf numFmtId="0" fontId="5" fillId="10" borderId="0" xfId="0" applyFont="1" applyFill="1" applyBorder="1" applyAlignment="1" applyProtection="1">
      <alignment horizontal="center" vertical="top"/>
    </xf>
    <xf numFmtId="9" fontId="5" fillId="10" borderId="0" xfId="2" applyFont="1" applyFill="1" applyBorder="1" applyAlignment="1" applyProtection="1">
      <alignment horizontal="center" vertical="top"/>
    </xf>
    <xf numFmtId="0" fontId="20" fillId="10" borderId="0" xfId="0" applyFont="1" applyFill="1" applyBorder="1" applyAlignment="1" applyProtection="1">
      <alignment horizontal="left" vertical="top"/>
    </xf>
    <xf numFmtId="1" fontId="5" fillId="10" borderId="0" xfId="0" applyNumberFormat="1" applyFont="1" applyFill="1" applyBorder="1" applyAlignment="1" applyProtection="1">
      <alignment horizontal="center" vertical="top"/>
    </xf>
    <xf numFmtId="168" fontId="5" fillId="10" borderId="0" xfId="0" applyNumberFormat="1" applyFont="1" applyFill="1" applyBorder="1" applyAlignment="1" applyProtection="1">
      <alignment horizontal="center" vertical="center"/>
    </xf>
    <xf numFmtId="9" fontId="5" fillId="10" borderId="0" xfId="2" applyFont="1" applyFill="1" applyBorder="1" applyAlignment="1" applyProtection="1">
      <alignment horizontal="center" vertical="center"/>
    </xf>
    <xf numFmtId="0" fontId="20" fillId="10" borderId="0" xfId="0" applyFont="1" applyFill="1" applyBorder="1" applyAlignment="1" applyProtection="1">
      <alignment vertical="top" wrapText="1"/>
    </xf>
    <xf numFmtId="0" fontId="55" fillId="10" borderId="3" xfId="0" applyFont="1" applyFill="1" applyBorder="1" applyAlignment="1" applyProtection="1"/>
    <xf numFmtId="3" fontId="38" fillId="6" borderId="0" xfId="0" applyNumberFormat="1" applyFont="1" applyFill="1" applyBorder="1" applyAlignment="1" applyProtection="1">
      <alignment vertical="center"/>
    </xf>
    <xf numFmtId="49" fontId="5" fillId="6" borderId="0" xfId="0" applyNumberFormat="1" applyFont="1" applyFill="1" applyAlignment="1" applyProtection="1">
      <alignment vertical="center"/>
    </xf>
    <xf numFmtId="3" fontId="5" fillId="10" borderId="0" xfId="0" applyNumberFormat="1" applyFont="1" applyFill="1" applyBorder="1" applyAlignment="1" applyProtection="1">
      <alignment horizontal="center" vertical="top"/>
    </xf>
    <xf numFmtId="0" fontId="5" fillId="10" borderId="9" xfId="0" applyFont="1" applyFill="1" applyBorder="1" applyAlignment="1" applyProtection="1">
      <alignment vertical="center"/>
    </xf>
    <xf numFmtId="0" fontId="34" fillId="10" borderId="8" xfId="0" applyFont="1" applyFill="1" applyBorder="1" applyAlignment="1" applyProtection="1">
      <alignment horizontal="center" vertical="top" wrapText="1"/>
    </xf>
    <xf numFmtId="0" fontId="5" fillId="10" borderId="0" xfId="8" applyFont="1" applyFill="1"/>
    <xf numFmtId="0" fontId="100" fillId="6" borderId="0" xfId="0" applyFont="1" applyFill="1" applyProtection="1"/>
    <xf numFmtId="0" fontId="5" fillId="9" borderId="3" xfId="8" applyFont="1" applyFill="1" applyBorder="1"/>
    <xf numFmtId="0" fontId="5" fillId="9" borderId="3" xfId="8" applyFont="1" applyFill="1" applyBorder="1" applyAlignment="1">
      <alignment horizontal="left" wrapText="1"/>
    </xf>
    <xf numFmtId="168" fontId="5" fillId="9" borderId="9" xfId="8" applyNumberFormat="1" applyFont="1" applyFill="1" applyBorder="1" applyAlignment="1">
      <alignment horizontal="center" vertical="center"/>
    </xf>
    <xf numFmtId="9" fontId="34" fillId="2" borderId="0" xfId="0" applyNumberFormat="1" applyFont="1" applyFill="1" applyBorder="1" applyAlignment="1" applyProtection="1">
      <alignment horizontal="center" vertical="center"/>
      <protection locked="0"/>
    </xf>
    <xf numFmtId="0" fontId="5" fillId="6" borderId="0" xfId="0" applyFont="1" applyFill="1" applyAlignment="1" applyProtection="1">
      <alignment vertical="center"/>
    </xf>
    <xf numFmtId="0" fontId="8" fillId="6" borderId="0" xfId="0" applyFont="1" applyFill="1" applyAlignment="1" applyProtection="1">
      <alignment vertical="center"/>
    </xf>
    <xf numFmtId="0" fontId="3" fillId="6" borderId="0" xfId="0" applyFont="1" applyFill="1" applyAlignment="1" applyProtection="1">
      <alignment vertical="center"/>
    </xf>
    <xf numFmtId="0" fontId="3" fillId="3" borderId="3" xfId="0" applyFont="1" applyFill="1" applyBorder="1" applyAlignment="1" applyProtection="1">
      <alignment vertical="center"/>
    </xf>
    <xf numFmtId="0" fontId="5" fillId="3" borderId="3" xfId="0" applyFont="1" applyFill="1" applyBorder="1" applyAlignment="1" applyProtection="1">
      <alignment horizontal="right" vertical="center"/>
    </xf>
    <xf numFmtId="0" fontId="5" fillId="9" borderId="34" xfId="0" applyFont="1" applyFill="1" applyBorder="1" applyAlignment="1" applyProtection="1">
      <alignment horizontal="center" vertical="center"/>
    </xf>
    <xf numFmtId="0" fontId="101" fillId="9" borderId="0" xfId="0" applyFont="1" applyFill="1" applyBorder="1" applyProtection="1"/>
    <xf numFmtId="0" fontId="65" fillId="9" borderId="3" xfId="0" applyFont="1" applyFill="1" applyBorder="1" applyProtection="1"/>
    <xf numFmtId="0" fontId="20" fillId="9" borderId="5" xfId="0" applyFont="1" applyFill="1" applyBorder="1" applyProtection="1"/>
    <xf numFmtId="0" fontId="27" fillId="9" borderId="3" xfId="0" applyFont="1" applyFill="1" applyBorder="1" applyAlignment="1" applyProtection="1">
      <alignment vertical="center" wrapText="1"/>
    </xf>
    <xf numFmtId="166" fontId="5" fillId="8" borderId="0" xfId="2" applyNumberFormat="1" applyFont="1" applyFill="1" applyBorder="1" applyAlignment="1" applyProtection="1">
      <alignment horizontal="center" vertical="center"/>
      <protection locked="0"/>
    </xf>
    <xf numFmtId="168" fontId="5" fillId="3" borderId="0" xfId="0" applyNumberFormat="1" applyFont="1" applyFill="1" applyBorder="1" applyProtection="1"/>
    <xf numFmtId="168" fontId="5" fillId="3" borderId="9" xfId="0" applyNumberFormat="1" applyFont="1" applyFill="1" applyBorder="1" applyProtection="1"/>
    <xf numFmtId="168" fontId="5" fillId="3" borderId="31" xfId="0" applyNumberFormat="1" applyFont="1" applyFill="1" applyBorder="1" applyProtection="1"/>
    <xf numFmtId="168" fontId="5" fillId="3" borderId="7" xfId="0" applyNumberFormat="1" applyFont="1" applyFill="1" applyBorder="1" applyProtection="1"/>
    <xf numFmtId="0" fontId="21" fillId="3" borderId="5" xfId="0" applyFont="1" applyFill="1" applyBorder="1" applyProtection="1"/>
    <xf numFmtId="168" fontId="5" fillId="3" borderId="4" xfId="0" applyNumberFormat="1" applyFont="1" applyFill="1" applyBorder="1" applyProtection="1"/>
    <xf numFmtId="168" fontId="5" fillId="3" borderId="10" xfId="0" applyNumberFormat="1" applyFont="1" applyFill="1" applyBorder="1" applyProtection="1"/>
    <xf numFmtId="166" fontId="5" fillId="9" borderId="4" xfId="2" applyNumberFormat="1" applyFont="1" applyFill="1" applyBorder="1" applyAlignment="1" applyProtection="1">
      <alignment horizontal="center"/>
    </xf>
    <xf numFmtId="166" fontId="5" fillId="9" borderId="10" xfId="2" applyNumberFormat="1" applyFont="1" applyFill="1" applyBorder="1" applyAlignment="1" applyProtection="1">
      <alignment horizontal="center"/>
    </xf>
    <xf numFmtId="0" fontId="20" fillId="3" borderId="3" xfId="0" applyFont="1" applyFill="1" applyBorder="1" applyProtection="1"/>
    <xf numFmtId="0" fontId="51" fillId="3" borderId="3" xfId="0" applyFont="1" applyFill="1" applyBorder="1" applyProtection="1"/>
    <xf numFmtId="0" fontId="20" fillId="3" borderId="6" xfId="0" applyFont="1" applyFill="1" applyBorder="1" applyProtection="1"/>
    <xf numFmtId="0" fontId="20" fillId="3" borderId="5" xfId="0" applyFont="1" applyFill="1" applyBorder="1" applyProtection="1"/>
    <xf numFmtId="0" fontId="48" fillId="3" borderId="3" xfId="0" applyFont="1" applyFill="1" applyBorder="1" applyAlignment="1" applyProtection="1">
      <alignment horizontal="left" vertical="top" wrapText="1"/>
    </xf>
    <xf numFmtId="0" fontId="48" fillId="3" borderId="0" xfId="0" applyFont="1" applyFill="1" applyBorder="1" applyAlignment="1" applyProtection="1">
      <alignment horizontal="left" vertical="top" wrapText="1"/>
    </xf>
    <xf numFmtId="0" fontId="48" fillId="3" borderId="9" xfId="0" applyFont="1" applyFill="1" applyBorder="1" applyAlignment="1" applyProtection="1">
      <alignment horizontal="left" vertical="top" wrapText="1"/>
    </xf>
    <xf numFmtId="0" fontId="5" fillId="10" borderId="0" xfId="0" applyFont="1" applyFill="1" applyBorder="1" applyAlignment="1" applyProtection="1">
      <alignment wrapText="1"/>
    </xf>
    <xf numFmtId="168" fontId="46" fillId="10" borderId="0" xfId="0" applyNumberFormat="1" applyFont="1" applyFill="1" applyBorder="1" applyAlignment="1" applyProtection="1">
      <alignment horizontal="right"/>
    </xf>
    <xf numFmtId="168" fontId="89" fillId="9" borderId="0" xfId="0" applyNumberFormat="1" applyFont="1" applyFill="1" applyBorder="1" applyAlignment="1" applyProtection="1">
      <alignment horizontal="right"/>
    </xf>
    <xf numFmtId="168" fontId="46" fillId="9" borderId="0" xfId="0" applyNumberFormat="1" applyFont="1" applyFill="1" applyBorder="1" applyAlignment="1" applyProtection="1">
      <alignment horizontal="right"/>
    </xf>
    <xf numFmtId="0" fontId="5" fillId="9" borderId="0" xfId="0" applyFont="1" applyFill="1" applyBorder="1" applyAlignment="1" applyProtection="1">
      <alignment horizontal="center"/>
    </xf>
    <xf numFmtId="0" fontId="55" fillId="9" borderId="3" xfId="0" applyFont="1" applyFill="1" applyBorder="1" applyProtection="1"/>
    <xf numFmtId="9" fontId="89" fillId="9" borderId="9" xfId="2" applyFont="1" applyFill="1" applyBorder="1" applyAlignment="1" applyProtection="1">
      <alignment horizontal="right"/>
    </xf>
    <xf numFmtId="9" fontId="46" fillId="9" borderId="9" xfId="2" applyFont="1" applyFill="1" applyBorder="1" applyAlignment="1" applyProtection="1">
      <alignment horizontal="right"/>
    </xf>
    <xf numFmtId="0" fontId="5" fillId="9" borderId="5" xfId="0" applyFont="1" applyFill="1" applyBorder="1" applyAlignment="1" applyProtection="1">
      <alignment horizontal="left"/>
    </xf>
    <xf numFmtId="9" fontId="46" fillId="9" borderId="10" xfId="2" applyFont="1" applyFill="1" applyBorder="1" applyAlignment="1" applyProtection="1">
      <alignment horizontal="right"/>
    </xf>
    <xf numFmtId="0" fontId="3" fillId="10" borderId="9" xfId="0" applyFont="1" applyFill="1" applyBorder="1" applyAlignment="1" applyProtection="1">
      <alignment wrapText="1"/>
    </xf>
    <xf numFmtId="168" fontId="38" fillId="6" borderId="0" xfId="12" applyNumberFormat="1" applyFont="1" applyFill="1" applyBorder="1" applyProtection="1"/>
    <xf numFmtId="0" fontId="5" fillId="10" borderId="9" xfId="0" applyFont="1" applyFill="1" applyBorder="1" applyAlignment="1" applyProtection="1">
      <alignment wrapText="1"/>
    </xf>
    <xf numFmtId="0" fontId="73" fillId="10" borderId="0" xfId="0" applyFont="1" applyFill="1" applyBorder="1" applyAlignment="1" applyProtection="1">
      <alignment vertical="top" wrapText="1"/>
    </xf>
    <xf numFmtId="168" fontId="38" fillId="6" borderId="0" xfId="0" applyNumberFormat="1" applyFont="1" applyFill="1" applyBorder="1" applyAlignment="1" applyProtection="1">
      <alignment wrapText="1"/>
    </xf>
    <xf numFmtId="0" fontId="38" fillId="6" borderId="0" xfId="0" applyFont="1" applyFill="1" applyBorder="1" applyAlignment="1" applyProtection="1">
      <alignment horizontal="center" wrapText="1"/>
    </xf>
    <xf numFmtId="166" fontId="38" fillId="6" borderId="0" xfId="2" applyNumberFormat="1" applyFont="1" applyFill="1" applyBorder="1" applyAlignment="1" applyProtection="1">
      <alignment wrapText="1"/>
    </xf>
    <xf numFmtId="0" fontId="38" fillId="6" borderId="0" xfId="0" applyFont="1" applyFill="1" applyBorder="1" applyAlignment="1" applyProtection="1">
      <alignment vertical="top" wrapText="1"/>
    </xf>
    <xf numFmtId="0" fontId="73" fillId="10" borderId="9" xfId="0" applyFont="1" applyFill="1" applyBorder="1" applyAlignment="1" applyProtection="1">
      <alignment vertical="top" wrapText="1"/>
    </xf>
    <xf numFmtId="0" fontId="13" fillId="6" borderId="0" xfId="0" applyFont="1" applyFill="1" applyProtection="1"/>
    <xf numFmtId="0" fontId="102" fillId="6" borderId="0" xfId="0" applyFont="1" applyFill="1" applyProtection="1"/>
    <xf numFmtId="3" fontId="102" fillId="6" borderId="0" xfId="0" applyNumberFormat="1" applyFont="1" applyFill="1" applyProtection="1"/>
    <xf numFmtId="0" fontId="103" fillId="6" borderId="0" xfId="10" applyFont="1" applyFill="1" applyBorder="1" applyProtection="1"/>
    <xf numFmtId="0" fontId="103" fillId="0" borderId="0" xfId="10" applyFont="1" applyFill="1" applyProtection="1"/>
    <xf numFmtId="0" fontId="103" fillId="0" borderId="0" xfId="10" applyFont="1" applyFill="1" applyAlignment="1" applyProtection="1">
      <alignment horizontal="left" vertical="top"/>
    </xf>
    <xf numFmtId="0" fontId="103" fillId="0" borderId="0" xfId="10" applyFont="1" applyFill="1" applyBorder="1" applyProtection="1"/>
    <xf numFmtId="0" fontId="104" fillId="0" borderId="0" xfId="10" applyFont="1" applyFill="1" applyProtection="1"/>
    <xf numFmtId="0" fontId="103" fillId="0" borderId="0" xfId="10" applyFont="1" applyFill="1" applyAlignment="1" applyProtection="1">
      <alignment wrapText="1"/>
    </xf>
    <xf numFmtId="0" fontId="103" fillId="0" borderId="0" xfId="10" applyFont="1" applyFill="1" applyAlignment="1" applyProtection="1">
      <alignment horizontal="center" vertical="center" wrapText="1"/>
    </xf>
    <xf numFmtId="0" fontId="105" fillId="0" borderId="0" xfId="10" applyFont="1" applyFill="1" applyProtection="1"/>
    <xf numFmtId="0" fontId="100" fillId="0" borderId="0" xfId="10" applyFont="1" applyFill="1" applyProtection="1"/>
    <xf numFmtId="0" fontId="103" fillId="0" borderId="0" xfId="10" applyFont="1" applyFill="1" applyAlignment="1" applyProtection="1"/>
    <xf numFmtId="0" fontId="40" fillId="5" borderId="0" xfId="0" applyFont="1" applyFill="1" applyAlignment="1">
      <alignment horizontal="center"/>
    </xf>
    <xf numFmtId="0" fontId="37" fillId="6" borderId="0" xfId="0" applyFont="1" applyFill="1" applyAlignment="1">
      <alignment horizontal="center"/>
    </xf>
    <xf numFmtId="0" fontId="41" fillId="6" borderId="0" xfId="0" applyFont="1" applyFill="1" applyAlignment="1">
      <alignment horizontal="center"/>
    </xf>
    <xf numFmtId="0" fontId="34" fillId="4" borderId="15" xfId="0" applyFont="1" applyFill="1" applyBorder="1" applyAlignment="1">
      <alignment horizontal="left" vertical="top" wrapText="1"/>
    </xf>
    <xf numFmtId="0" fontId="34" fillId="4" borderId="16" xfId="0" applyFont="1" applyFill="1" applyBorder="1" applyAlignment="1">
      <alignment horizontal="left" vertical="top" wrapText="1"/>
    </xf>
    <xf numFmtId="0" fontId="34" fillId="4" borderId="17" xfId="0" applyFont="1" applyFill="1" applyBorder="1" applyAlignment="1">
      <alignment horizontal="left" vertical="top" wrapText="1"/>
    </xf>
    <xf numFmtId="0" fontId="34" fillId="4" borderId="18" xfId="0" applyFont="1" applyFill="1" applyBorder="1" applyAlignment="1">
      <alignment horizontal="left" vertical="top" wrapText="1"/>
    </xf>
    <xf numFmtId="0" fontId="34" fillId="4" borderId="0" xfId="0" applyFont="1" applyFill="1" applyBorder="1" applyAlignment="1">
      <alignment horizontal="left" vertical="top" wrapText="1"/>
    </xf>
    <xf numFmtId="0" fontId="34" fillId="4" borderId="19" xfId="0" applyFont="1" applyFill="1" applyBorder="1" applyAlignment="1">
      <alignment horizontal="left" vertical="top" wrapText="1"/>
    </xf>
    <xf numFmtId="0" fontId="34" fillId="4" borderId="20" xfId="0" applyFont="1" applyFill="1" applyBorder="1" applyAlignment="1">
      <alignment horizontal="left" vertical="top" wrapText="1"/>
    </xf>
    <xf numFmtId="0" fontId="34" fillId="4" borderId="21" xfId="0" applyFont="1" applyFill="1" applyBorder="1" applyAlignment="1">
      <alignment horizontal="left" vertical="top" wrapText="1"/>
    </xf>
    <xf numFmtId="0" fontId="34" fillId="4" borderId="22" xfId="0" applyFont="1" applyFill="1" applyBorder="1" applyAlignment="1">
      <alignment horizontal="left" vertical="top" wrapText="1"/>
    </xf>
    <xf numFmtId="0" fontId="42" fillId="6" borderId="0" xfId="0" applyFont="1" applyFill="1" applyAlignment="1">
      <alignment horizontal="center" wrapText="1"/>
    </xf>
    <xf numFmtId="0" fontId="76" fillId="5" borderId="0" xfId="0" applyFont="1" applyFill="1" applyBorder="1" applyAlignment="1">
      <alignment horizontal="center"/>
    </xf>
    <xf numFmtId="0" fontId="30" fillId="2" borderId="1" xfId="0" applyFont="1" applyFill="1" applyBorder="1" applyAlignment="1">
      <alignment horizontal="center" vertical="center"/>
    </xf>
    <xf numFmtId="0" fontId="30" fillId="2" borderId="32" xfId="0" applyFont="1" applyFill="1" applyBorder="1" applyAlignment="1">
      <alignment horizontal="center" vertical="center"/>
    </xf>
    <xf numFmtId="0" fontId="30" fillId="2" borderId="2" xfId="0" applyFont="1" applyFill="1" applyBorder="1" applyAlignment="1">
      <alignment horizontal="center" vertical="center"/>
    </xf>
    <xf numFmtId="0" fontId="3" fillId="0" borderId="0" xfId="0" applyFont="1" applyFill="1" applyAlignment="1">
      <alignment horizontal="center"/>
    </xf>
    <xf numFmtId="0" fontId="43" fillId="0" borderId="0" xfId="0" applyFont="1" applyFill="1" applyAlignment="1">
      <alignment horizontal="center"/>
    </xf>
    <xf numFmtId="0" fontId="30" fillId="8" borderId="1" xfId="0" applyFont="1" applyFill="1" applyBorder="1" applyAlignment="1">
      <alignment horizontal="center" vertical="center"/>
    </xf>
    <xf numFmtId="0" fontId="30" fillId="8" borderId="32" xfId="0" applyFont="1" applyFill="1" applyBorder="1" applyAlignment="1">
      <alignment horizontal="center" vertical="center"/>
    </xf>
    <xf numFmtId="0" fontId="30" fillId="8" borderId="2" xfId="0" applyFont="1" applyFill="1" applyBorder="1" applyAlignment="1">
      <alignment horizontal="center" vertical="center"/>
    </xf>
    <xf numFmtId="0" fontId="44" fillId="0" borderId="31" xfId="0" applyFont="1" applyFill="1" applyBorder="1" applyAlignment="1">
      <alignment horizontal="center" vertical="center"/>
    </xf>
    <xf numFmtId="0" fontId="44" fillId="0" borderId="0" xfId="0" applyFont="1" applyFill="1" applyBorder="1" applyAlignment="1">
      <alignment horizontal="center" vertical="center"/>
    </xf>
    <xf numFmtId="0" fontId="5" fillId="11" borderId="0" xfId="0" applyFont="1" applyFill="1" applyBorder="1" applyAlignment="1">
      <alignment vertical="top" wrapText="1"/>
    </xf>
    <xf numFmtId="0" fontId="5" fillId="11" borderId="19" xfId="0" applyFont="1" applyFill="1" applyBorder="1" applyAlignment="1">
      <alignment vertical="top" wrapText="1"/>
    </xf>
    <xf numFmtId="0" fontId="43" fillId="11" borderId="15" xfId="0" applyFont="1" applyFill="1" applyBorder="1" applyAlignment="1">
      <alignment horizontal="center"/>
    </xf>
    <xf numFmtId="0" fontId="43" fillId="11" borderId="16" xfId="0" applyFont="1" applyFill="1" applyBorder="1" applyAlignment="1">
      <alignment horizontal="center"/>
    </xf>
    <xf numFmtId="0" fontId="43" fillId="11" borderId="17" xfId="0" applyFont="1" applyFill="1" applyBorder="1" applyAlignment="1">
      <alignment horizontal="center"/>
    </xf>
    <xf numFmtId="0" fontId="42" fillId="0" borderId="0" xfId="0" applyFont="1" applyFill="1" applyAlignment="1">
      <alignment horizontal="center"/>
    </xf>
    <xf numFmtId="0" fontId="33" fillId="0" borderId="0" xfId="0" applyFont="1" applyFill="1" applyAlignment="1">
      <alignment horizontal="center"/>
    </xf>
    <xf numFmtId="0" fontId="40" fillId="7" borderId="0" xfId="10" applyFont="1" applyFill="1" applyBorder="1" applyAlignment="1" applyProtection="1">
      <alignment horizontal="center" vertical="center"/>
    </xf>
    <xf numFmtId="0" fontId="3" fillId="0" borderId="0" xfId="10" applyFont="1" applyFill="1" applyAlignment="1" applyProtection="1">
      <alignment horizontal="center"/>
    </xf>
    <xf numFmtId="0" fontId="48" fillId="3" borderId="18" xfId="0" applyFont="1" applyFill="1" applyBorder="1" applyAlignment="1" applyProtection="1">
      <alignment horizontal="left" vertical="center" wrapText="1"/>
    </xf>
    <xf numFmtId="0" fontId="48" fillId="3" borderId="0" xfId="0" applyFont="1" applyFill="1" applyBorder="1" applyAlignment="1" applyProtection="1">
      <alignment horizontal="left" vertical="center" wrapText="1"/>
    </xf>
    <xf numFmtId="0" fontId="48" fillId="3" borderId="19" xfId="0" applyFont="1" applyFill="1" applyBorder="1" applyAlignment="1" applyProtection="1">
      <alignment horizontal="left" vertical="center" wrapText="1"/>
    </xf>
    <xf numFmtId="0" fontId="47" fillId="0" borderId="0" xfId="10" applyFont="1" applyFill="1" applyAlignment="1" applyProtection="1">
      <alignment horizontal="center" vertical="center"/>
    </xf>
    <xf numFmtId="0" fontId="5" fillId="9" borderId="27" xfId="10" applyFont="1" applyFill="1" applyBorder="1" applyAlignment="1" applyProtection="1">
      <alignment horizontal="center" vertical="center" wrapText="1"/>
    </xf>
    <xf numFmtId="0" fontId="5" fillId="9" borderId="28" xfId="10" applyFont="1" applyFill="1" applyBorder="1" applyAlignment="1" applyProtection="1">
      <alignment horizontal="center" vertical="center" wrapText="1"/>
    </xf>
    <xf numFmtId="0" fontId="3" fillId="3" borderId="18" xfId="10" applyFont="1" applyFill="1" applyBorder="1" applyAlignment="1" applyProtection="1">
      <alignment horizontal="center"/>
    </xf>
    <xf numFmtId="0" fontId="3" fillId="3" borderId="0" xfId="10" applyFont="1" applyFill="1" applyBorder="1" applyAlignment="1" applyProtection="1">
      <alignment horizontal="center"/>
    </xf>
    <xf numFmtId="0" fontId="5" fillId="2" borderId="0" xfId="10" applyFont="1" applyFill="1" applyBorder="1" applyAlignment="1" applyProtection="1">
      <alignment horizontal="left"/>
      <protection locked="0"/>
    </xf>
    <xf numFmtId="171" fontId="5" fillId="2" borderId="0" xfId="10" applyNumberFormat="1" applyFont="1" applyFill="1" applyBorder="1" applyAlignment="1" applyProtection="1">
      <alignment horizontal="left"/>
      <protection locked="0"/>
    </xf>
    <xf numFmtId="171" fontId="3" fillId="2" borderId="0" xfId="10" applyNumberFormat="1" applyFont="1" applyFill="1" applyBorder="1" applyAlignment="1" applyProtection="1">
      <alignment horizontal="left" vertical="top" wrapText="1"/>
      <protection locked="0"/>
    </xf>
    <xf numFmtId="0" fontId="48" fillId="3" borderId="3" xfId="0" applyFont="1" applyFill="1" applyBorder="1" applyAlignment="1" applyProtection="1">
      <alignment horizontal="left" vertical="center" wrapText="1"/>
    </xf>
    <xf numFmtId="0" fontId="48" fillId="3" borderId="9" xfId="0" applyFont="1" applyFill="1" applyBorder="1" applyAlignment="1" applyProtection="1">
      <alignment horizontal="left" vertical="center" wrapText="1"/>
    </xf>
    <xf numFmtId="0" fontId="47" fillId="6" borderId="0" xfId="10" applyFont="1" applyFill="1" applyAlignment="1" applyProtection="1">
      <alignment horizontal="center" vertical="center"/>
    </xf>
    <xf numFmtId="0" fontId="48" fillId="3" borderId="3" xfId="10" applyFont="1" applyFill="1" applyBorder="1" applyAlignment="1" applyProtection="1">
      <alignment horizontal="left" vertical="top" wrapText="1"/>
    </xf>
    <xf numFmtId="0" fontId="48" fillId="3" borderId="0" xfId="10" applyFont="1" applyFill="1" applyBorder="1" applyAlignment="1" applyProtection="1">
      <alignment horizontal="left" vertical="top" wrapText="1"/>
    </xf>
    <xf numFmtId="0" fontId="48" fillId="3" borderId="9" xfId="10" applyFont="1" applyFill="1" applyBorder="1" applyAlignment="1" applyProtection="1">
      <alignment horizontal="left" vertical="top" wrapText="1"/>
    </xf>
    <xf numFmtId="0" fontId="5" fillId="2" borderId="1" xfId="10" applyFont="1" applyFill="1" applyBorder="1" applyAlignment="1" applyProtection="1">
      <alignment horizontal="center" vertical="center"/>
      <protection locked="0"/>
    </xf>
    <xf numFmtId="0" fontId="5" fillId="2" borderId="32" xfId="10" applyFont="1" applyFill="1" applyBorder="1" applyAlignment="1" applyProtection="1">
      <alignment horizontal="center" vertical="center"/>
      <protection locked="0"/>
    </xf>
    <xf numFmtId="0" fontId="5" fillId="2" borderId="2" xfId="10" applyFont="1" applyFill="1" applyBorder="1" applyAlignment="1" applyProtection="1">
      <alignment horizontal="center" vertical="center"/>
      <protection locked="0"/>
    </xf>
    <xf numFmtId="0" fontId="11" fillId="3" borderId="0" xfId="10" applyFont="1" applyFill="1" applyBorder="1" applyAlignment="1" applyProtection="1">
      <alignment horizontal="left" vertical="center" wrapText="1"/>
    </xf>
    <xf numFmtId="0" fontId="11" fillId="3" borderId="9" xfId="10" applyFont="1" applyFill="1" applyBorder="1" applyAlignment="1" applyProtection="1">
      <alignment horizontal="left" vertical="center" wrapText="1"/>
    </xf>
    <xf numFmtId="3" fontId="5" fillId="3" borderId="0" xfId="0" applyNumberFormat="1" applyFont="1" applyFill="1" applyBorder="1" applyAlignment="1" applyProtection="1">
      <alignment horizontal="left" vertical="top" wrapText="1"/>
    </xf>
    <xf numFmtId="3" fontId="5" fillId="3" borderId="9" xfId="0" applyNumberFormat="1" applyFont="1" applyFill="1" applyBorder="1" applyAlignment="1" applyProtection="1">
      <alignment horizontal="left" vertical="top" wrapText="1"/>
    </xf>
    <xf numFmtId="0" fontId="59" fillId="10" borderId="15" xfId="0" applyFont="1" applyFill="1" applyBorder="1" applyAlignment="1" applyProtection="1">
      <alignment horizontal="center" vertical="center" wrapText="1"/>
    </xf>
    <xf numFmtId="0" fontId="59" fillId="10" borderId="16" xfId="0" applyFont="1" applyFill="1" applyBorder="1" applyAlignment="1" applyProtection="1">
      <alignment horizontal="center" vertical="center" wrapText="1"/>
    </xf>
    <xf numFmtId="0" fontId="59" fillId="10" borderId="17" xfId="0" applyFont="1" applyFill="1" applyBorder="1" applyAlignment="1" applyProtection="1">
      <alignment horizontal="center" vertical="center" wrapText="1"/>
    </xf>
    <xf numFmtId="168" fontId="20" fillId="10" borderId="3" xfId="0" applyNumberFormat="1" applyFont="1" applyFill="1" applyBorder="1" applyAlignment="1" applyProtection="1">
      <alignment horizontal="right"/>
    </xf>
    <xf numFmtId="168" fontId="20" fillId="10" borderId="0" xfId="0" applyNumberFormat="1" applyFont="1" applyFill="1" applyBorder="1" applyAlignment="1" applyProtection="1">
      <alignment horizontal="right"/>
    </xf>
    <xf numFmtId="0" fontId="20" fillId="10" borderId="3" xfId="0" applyFont="1" applyFill="1" applyBorder="1" applyAlignment="1" applyProtection="1">
      <alignment horizontal="right"/>
    </xf>
    <xf numFmtId="0" fontId="20" fillId="10" borderId="0" xfId="0" applyFont="1" applyFill="1" applyBorder="1" applyAlignment="1" applyProtection="1">
      <alignment horizontal="right"/>
    </xf>
    <xf numFmtId="0" fontId="96" fillId="6" borderId="3" xfId="0" applyFont="1" applyFill="1" applyBorder="1" applyAlignment="1" applyProtection="1">
      <alignment horizontal="left" vertical="top" wrapText="1"/>
    </xf>
    <xf numFmtId="0" fontId="96" fillId="6" borderId="0" xfId="0" applyFont="1" applyFill="1" applyBorder="1" applyAlignment="1" applyProtection="1">
      <alignment horizontal="left" vertical="top" wrapText="1"/>
    </xf>
    <xf numFmtId="0" fontId="48" fillId="3" borderId="3" xfId="0" applyFont="1" applyFill="1" applyBorder="1" applyAlignment="1" applyProtection="1">
      <alignment horizontal="left" vertical="top" wrapText="1"/>
    </xf>
    <xf numFmtId="0" fontId="48" fillId="3" borderId="0" xfId="0" applyFont="1" applyFill="1" applyBorder="1" applyAlignment="1" applyProtection="1">
      <alignment horizontal="left" vertical="top" wrapText="1"/>
    </xf>
    <xf numFmtId="0" fontId="48" fillId="3" borderId="9" xfId="0" applyFont="1" applyFill="1" applyBorder="1" applyAlignment="1" applyProtection="1">
      <alignment horizontal="left" vertical="top" wrapText="1"/>
    </xf>
    <xf numFmtId="0" fontId="40" fillId="5" borderId="0" xfId="10" applyFont="1" applyFill="1" applyBorder="1" applyAlignment="1" applyProtection="1">
      <alignment horizontal="center" vertical="center"/>
    </xf>
    <xf numFmtId="0" fontId="95" fillId="11" borderId="23" xfId="0" applyFont="1" applyFill="1" applyBorder="1" applyAlignment="1" applyProtection="1">
      <alignment horizontal="left" vertical="top" wrapText="1"/>
    </xf>
    <xf numFmtId="0" fontId="95" fillId="11" borderId="24" xfId="0" applyFont="1" applyFill="1" applyBorder="1" applyAlignment="1" applyProtection="1">
      <alignment horizontal="left" vertical="top" wrapText="1"/>
    </xf>
    <xf numFmtId="0" fontId="95" fillId="11" borderId="30" xfId="0" applyFont="1" applyFill="1" applyBorder="1" applyAlignment="1" applyProtection="1">
      <alignment horizontal="left" vertical="top" wrapText="1"/>
    </xf>
    <xf numFmtId="0" fontId="49" fillId="3" borderId="15" xfId="0" applyFont="1" applyFill="1" applyBorder="1" applyAlignment="1" applyProtection="1">
      <alignment horizontal="left" vertical="top" wrapText="1"/>
    </xf>
    <xf numFmtId="0" fontId="49" fillId="3" borderId="16" xfId="0" applyFont="1" applyFill="1" applyBorder="1" applyAlignment="1" applyProtection="1">
      <alignment horizontal="left" vertical="top" wrapText="1"/>
    </xf>
    <xf numFmtId="0" fontId="49" fillId="3" borderId="17" xfId="0" applyFont="1" applyFill="1" applyBorder="1" applyAlignment="1" applyProtection="1">
      <alignment horizontal="left" vertical="top" wrapText="1"/>
    </xf>
    <xf numFmtId="0" fontId="65" fillId="3" borderId="18" xfId="0" applyFont="1" applyFill="1" applyBorder="1" applyAlignment="1" applyProtection="1">
      <alignment horizontal="left" wrapText="1"/>
    </xf>
    <xf numFmtId="0" fontId="65" fillId="3" borderId="0" xfId="0" applyFont="1" applyFill="1" applyBorder="1" applyAlignment="1" applyProtection="1">
      <alignment horizontal="left" wrapText="1"/>
    </xf>
    <xf numFmtId="0" fontId="65" fillId="3" borderId="19" xfId="0" applyFont="1" applyFill="1" applyBorder="1" applyAlignment="1" applyProtection="1">
      <alignment horizontal="left" wrapText="1"/>
    </xf>
    <xf numFmtId="0" fontId="59" fillId="10" borderId="6" xfId="0" applyFont="1" applyFill="1" applyBorder="1" applyAlignment="1" applyProtection="1">
      <alignment horizontal="center" vertical="center" wrapText="1"/>
    </xf>
    <xf numFmtId="0" fontId="59" fillId="10" borderId="31" xfId="0" applyFont="1" applyFill="1" applyBorder="1" applyAlignment="1" applyProtection="1">
      <alignment horizontal="center" vertical="center" wrapText="1"/>
    </xf>
    <xf numFmtId="0" fontId="59" fillId="10" borderId="7" xfId="0" applyFont="1" applyFill="1" applyBorder="1" applyAlignment="1" applyProtection="1">
      <alignment horizontal="center" vertical="center" wrapText="1"/>
    </xf>
    <xf numFmtId="0" fontId="34" fillId="10" borderId="3" xfId="0" applyFont="1" applyFill="1" applyBorder="1" applyAlignment="1" applyProtection="1">
      <alignment horizontal="left" wrapText="1"/>
    </xf>
    <xf numFmtId="0" fontId="34" fillId="10" borderId="0" xfId="0" applyFont="1" applyFill="1" applyBorder="1" applyAlignment="1" applyProtection="1">
      <alignment horizontal="left" wrapText="1"/>
    </xf>
    <xf numFmtId="0" fontId="34" fillId="10" borderId="9" xfId="0" applyFont="1" applyFill="1" applyBorder="1" applyAlignment="1" applyProtection="1">
      <alignment horizontal="left" wrapText="1"/>
    </xf>
    <xf numFmtId="0" fontId="42" fillId="6" borderId="0" xfId="0" applyFont="1" applyFill="1" applyAlignment="1" applyProtection="1">
      <alignment horizontal="center"/>
    </xf>
    <xf numFmtId="0" fontId="95" fillId="10" borderId="3" xfId="0" applyFont="1" applyFill="1" applyBorder="1" applyAlignment="1" applyProtection="1">
      <alignment horizontal="left" vertical="center" wrapText="1"/>
    </xf>
    <xf numFmtId="0" fontId="95" fillId="10" borderId="0" xfId="0" applyFont="1" applyFill="1" applyBorder="1" applyAlignment="1" applyProtection="1">
      <alignment horizontal="left" vertical="center" wrapText="1"/>
    </xf>
    <xf numFmtId="0" fontId="22" fillId="3" borderId="3" xfId="0" applyFont="1" applyFill="1" applyBorder="1" applyAlignment="1" applyProtection="1">
      <alignment horizontal="left" vertical="top" wrapText="1" indent="1"/>
    </xf>
    <xf numFmtId="0" fontId="22" fillId="3" borderId="0" xfId="0" applyFont="1" applyFill="1" applyBorder="1" applyAlignment="1" applyProtection="1">
      <alignment horizontal="left" vertical="top" wrapText="1" indent="1"/>
    </xf>
    <xf numFmtId="0" fontId="65" fillId="3" borderId="3" xfId="0" applyFont="1" applyFill="1" applyBorder="1" applyAlignment="1" applyProtection="1">
      <alignment horizontal="left" vertical="top" wrapText="1"/>
    </xf>
    <xf numFmtId="0" fontId="65" fillId="3" borderId="0" xfId="0" applyFont="1" applyFill="1" applyBorder="1" applyAlignment="1" applyProtection="1">
      <alignment horizontal="left" vertical="top" wrapText="1"/>
    </xf>
    <xf numFmtId="0" fontId="55" fillId="10" borderId="3" xfId="0" applyFont="1" applyFill="1" applyBorder="1" applyAlignment="1" applyProtection="1">
      <alignment horizontal="left" vertical="center" wrapText="1"/>
    </xf>
    <xf numFmtId="0" fontId="55" fillId="10" borderId="0" xfId="0" applyFont="1" applyFill="1" applyBorder="1" applyAlignment="1" applyProtection="1">
      <alignment horizontal="left" vertical="center" wrapText="1"/>
    </xf>
    <xf numFmtId="0" fontId="34" fillId="11" borderId="1" xfId="0" applyFont="1" applyFill="1" applyBorder="1" applyAlignment="1" applyProtection="1">
      <alignment horizontal="left" vertical="center" wrapText="1"/>
    </xf>
    <xf numFmtId="0" fontId="34" fillId="11" borderId="32" xfId="0" applyFont="1" applyFill="1" applyBorder="1" applyAlignment="1" applyProtection="1">
      <alignment horizontal="left" vertical="center" wrapText="1"/>
    </xf>
    <xf numFmtId="0" fontId="34" fillId="11" borderId="2" xfId="0" applyFont="1" applyFill="1" applyBorder="1" applyAlignment="1" applyProtection="1">
      <alignment horizontal="left" vertical="center" wrapText="1"/>
    </xf>
    <xf numFmtId="0" fontId="46" fillId="3" borderId="6" xfId="0" applyFont="1" applyFill="1" applyBorder="1" applyAlignment="1" applyProtection="1">
      <alignment horizontal="left" wrapText="1"/>
    </xf>
    <xf numFmtId="0" fontId="46" fillId="3" borderId="31" xfId="0" applyFont="1" applyFill="1" applyBorder="1" applyAlignment="1" applyProtection="1">
      <alignment horizontal="left" wrapText="1"/>
    </xf>
    <xf numFmtId="0" fontId="46" fillId="3" borderId="7" xfId="0" applyFont="1" applyFill="1" applyBorder="1" applyAlignment="1" applyProtection="1">
      <alignment horizontal="left" wrapText="1"/>
    </xf>
    <xf numFmtId="0" fontId="27" fillId="3" borderId="5" xfId="0" applyFont="1" applyFill="1" applyBorder="1" applyAlignment="1" applyProtection="1">
      <alignment horizontal="left" vertical="top" wrapText="1"/>
    </xf>
    <xf numFmtId="0" fontId="27" fillId="3" borderId="4" xfId="0" applyFont="1" applyFill="1" applyBorder="1" applyAlignment="1" applyProtection="1">
      <alignment horizontal="left" vertical="top" wrapText="1"/>
    </xf>
    <xf numFmtId="0" fontId="27" fillId="3" borderId="10" xfId="0" applyFont="1" applyFill="1" applyBorder="1" applyAlignment="1" applyProtection="1">
      <alignment horizontal="left" vertical="top" wrapText="1"/>
    </xf>
    <xf numFmtId="0" fontId="42" fillId="6" borderId="0" xfId="0" applyFont="1" applyFill="1" applyAlignment="1">
      <alignment horizontal="center"/>
    </xf>
    <xf numFmtId="0" fontId="40" fillId="5" borderId="0" xfId="10" applyFont="1" applyFill="1" applyBorder="1" applyAlignment="1">
      <alignment horizontal="center" vertical="center"/>
    </xf>
    <xf numFmtId="0" fontId="47" fillId="6" borderId="0" xfId="10" applyFont="1" applyFill="1" applyBorder="1" applyAlignment="1">
      <alignment horizontal="center" vertical="center"/>
    </xf>
    <xf numFmtId="0" fontId="95" fillId="11" borderId="5" xfId="8" applyFont="1" applyFill="1" applyBorder="1" applyAlignment="1">
      <alignment vertical="top" wrapText="1"/>
    </xf>
    <xf numFmtId="0" fontId="95" fillId="11" borderId="4" xfId="8" applyFont="1" applyFill="1" applyBorder="1" applyAlignment="1">
      <alignment vertical="top" wrapText="1"/>
    </xf>
    <xf numFmtId="0" fontId="95" fillId="11" borderId="10" xfId="8" applyFont="1" applyFill="1" applyBorder="1" applyAlignment="1">
      <alignment vertical="top" wrapText="1"/>
    </xf>
    <xf numFmtId="0" fontId="95" fillId="11" borderId="6" xfId="8" applyFont="1" applyFill="1" applyBorder="1" applyAlignment="1">
      <alignment vertical="top" wrapText="1"/>
    </xf>
    <xf numFmtId="0" fontId="95" fillId="11" borderId="31" xfId="8" applyFont="1" applyFill="1" applyBorder="1" applyAlignment="1">
      <alignment vertical="top" wrapText="1"/>
    </xf>
    <xf numFmtId="0" fontId="95" fillId="11" borderId="7" xfId="8" applyFont="1" applyFill="1" applyBorder="1" applyAlignment="1">
      <alignment vertical="top" wrapText="1"/>
    </xf>
    <xf numFmtId="0" fontId="83" fillId="10" borderId="15" xfId="8" applyFont="1" applyFill="1" applyBorder="1" applyAlignment="1">
      <alignment horizontal="center" vertical="center"/>
    </xf>
    <xf numFmtId="0" fontId="83" fillId="10" borderId="16" xfId="8" applyFont="1" applyFill="1" applyBorder="1" applyAlignment="1">
      <alignment horizontal="center" vertical="center"/>
    </xf>
    <xf numFmtId="0" fontId="83" fillId="10" borderId="17" xfId="8" applyFont="1" applyFill="1" applyBorder="1" applyAlignment="1">
      <alignment horizontal="center" vertical="center"/>
    </xf>
    <xf numFmtId="0" fontId="83" fillId="10" borderId="15" xfId="8" applyFont="1" applyFill="1" applyBorder="1" applyAlignment="1">
      <alignment horizontal="center" vertical="center" wrapText="1"/>
    </xf>
    <xf numFmtId="0" fontId="83" fillId="10" borderId="16" xfId="8" applyFont="1" applyFill="1" applyBorder="1" applyAlignment="1">
      <alignment horizontal="center" vertical="center" wrapText="1"/>
    </xf>
    <xf numFmtId="0" fontId="83" fillId="10" borderId="17" xfId="8" applyFont="1" applyFill="1" applyBorder="1" applyAlignment="1">
      <alignment horizontal="center" vertical="center" wrapText="1"/>
    </xf>
    <xf numFmtId="0" fontId="34" fillId="10" borderId="0" xfId="8" applyFont="1" applyFill="1" applyBorder="1" applyAlignment="1">
      <alignment horizontal="left" vertical="top" wrapText="1"/>
    </xf>
    <xf numFmtId="0" fontId="34" fillId="10" borderId="19" xfId="8" applyFont="1" applyFill="1" applyBorder="1" applyAlignment="1">
      <alignment horizontal="left" vertical="top" wrapText="1"/>
    </xf>
    <xf numFmtId="0" fontId="34" fillId="10" borderId="0" xfId="8" applyFont="1" applyFill="1" applyBorder="1" applyAlignment="1">
      <alignment vertical="top" wrapText="1"/>
    </xf>
    <xf numFmtId="0" fontId="34" fillId="10" borderId="19" xfId="8" applyFont="1" applyFill="1" applyBorder="1" applyAlignment="1">
      <alignment vertical="top" wrapText="1"/>
    </xf>
    <xf numFmtId="0" fontId="49" fillId="3" borderId="6" xfId="0" applyFont="1" applyFill="1" applyBorder="1" applyAlignment="1" applyProtection="1">
      <alignment horizontal="left" vertical="top" wrapText="1"/>
    </xf>
    <xf numFmtId="0" fontId="65" fillId="3" borderId="31" xfId="0" applyFont="1" applyFill="1" applyBorder="1" applyAlignment="1" applyProtection="1">
      <alignment horizontal="left" vertical="top" wrapText="1"/>
    </xf>
    <xf numFmtId="0" fontId="65" fillId="3" borderId="7" xfId="0" applyFont="1" applyFill="1" applyBorder="1" applyAlignment="1" applyProtection="1">
      <alignment horizontal="left" vertical="top" wrapText="1"/>
    </xf>
    <xf numFmtId="0" fontId="20" fillId="9" borderId="0" xfId="0" applyFont="1" applyFill="1" applyBorder="1" applyAlignment="1" applyProtection="1">
      <alignment horizontal="center" wrapText="1"/>
    </xf>
    <xf numFmtId="0" fontId="20" fillId="9" borderId="11" xfId="0" applyFont="1" applyFill="1" applyBorder="1" applyAlignment="1" applyProtection="1">
      <alignment horizontal="center" wrapText="1"/>
    </xf>
    <xf numFmtId="0" fontId="20" fillId="9" borderId="9" xfId="0" applyFont="1" applyFill="1" applyBorder="1" applyAlignment="1" applyProtection="1">
      <alignment horizontal="center" wrapText="1"/>
    </xf>
    <xf numFmtId="0" fontId="20" fillId="9" borderId="37" xfId="0" applyFont="1" applyFill="1" applyBorder="1" applyAlignment="1" applyProtection="1">
      <alignment horizontal="center" wrapText="1"/>
    </xf>
    <xf numFmtId="3" fontId="55" fillId="9" borderId="31" xfId="0" applyNumberFormat="1" applyFont="1" applyFill="1" applyBorder="1" applyAlignment="1" applyProtection="1">
      <alignment horizontal="center" vertical="center"/>
    </xf>
    <xf numFmtId="3" fontId="55" fillId="9" borderId="7" xfId="0" applyNumberFormat="1" applyFont="1" applyFill="1" applyBorder="1" applyAlignment="1" applyProtection="1">
      <alignment horizontal="center" vertical="center"/>
    </xf>
    <xf numFmtId="0" fontId="20" fillId="9" borderId="3" xfId="0" applyFont="1" applyFill="1" applyBorder="1" applyAlignment="1" applyProtection="1">
      <alignment horizontal="center"/>
    </xf>
    <xf numFmtId="0" fontId="20" fillId="9" borderId="35" xfId="0" applyFont="1" applyFill="1" applyBorder="1" applyAlignment="1" applyProtection="1">
      <alignment horizontal="center"/>
    </xf>
    <xf numFmtId="0" fontId="20" fillId="10" borderId="0" xfId="0" applyFont="1" applyFill="1" applyBorder="1" applyAlignment="1" applyProtection="1">
      <alignment horizontal="left" vertical="top" wrapText="1"/>
    </xf>
    <xf numFmtId="0" fontId="5" fillId="10" borderId="0" xfId="0" applyFont="1" applyFill="1" applyBorder="1" applyAlignment="1" applyProtection="1">
      <alignment horizontal="left" vertical="top" wrapText="1"/>
    </xf>
    <xf numFmtId="0" fontId="47" fillId="6" borderId="0" xfId="10" applyFont="1" applyFill="1" applyBorder="1" applyAlignment="1" applyProtection="1">
      <alignment horizontal="center" vertical="center"/>
    </xf>
    <xf numFmtId="0" fontId="5" fillId="3" borderId="3" xfId="0" applyFont="1" applyFill="1" applyBorder="1" applyAlignment="1" applyProtection="1">
      <alignment horizontal="left" vertical="top" wrapText="1"/>
    </xf>
    <xf numFmtId="0" fontId="5" fillId="3" borderId="0" xfId="0" applyFont="1" applyFill="1" applyBorder="1" applyAlignment="1" applyProtection="1">
      <alignment horizontal="left" vertical="top" wrapText="1"/>
    </xf>
    <xf numFmtId="0" fontId="5" fillId="3" borderId="9" xfId="0" applyFont="1" applyFill="1" applyBorder="1" applyAlignment="1" applyProtection="1">
      <alignment horizontal="left" vertical="top" wrapText="1"/>
    </xf>
    <xf numFmtId="0" fontId="5" fillId="3" borderId="3" xfId="0" applyFont="1" applyFill="1" applyBorder="1" applyAlignment="1" applyProtection="1">
      <alignment horizontal="left"/>
    </xf>
    <xf numFmtId="0" fontId="5" fillId="3" borderId="0" xfId="0" applyFont="1" applyFill="1" applyBorder="1" applyAlignment="1" applyProtection="1">
      <alignment horizontal="left"/>
    </xf>
    <xf numFmtId="0" fontId="49" fillId="3" borderId="6" xfId="0" applyFont="1" applyFill="1" applyBorder="1" applyAlignment="1" applyProtection="1">
      <alignment horizontal="left" vertical="top"/>
    </xf>
    <xf numFmtId="0" fontId="49" fillId="3" borderId="31" xfId="0" applyFont="1" applyFill="1" applyBorder="1" applyAlignment="1" applyProtection="1">
      <alignment horizontal="left" vertical="top"/>
    </xf>
    <xf numFmtId="0" fontId="49" fillId="3" borderId="7" xfId="0" applyFont="1" applyFill="1" applyBorder="1" applyAlignment="1" applyProtection="1">
      <alignment horizontal="left" vertical="top"/>
    </xf>
    <xf numFmtId="0" fontId="49" fillId="3" borderId="31" xfId="0" applyFont="1" applyFill="1" applyBorder="1" applyAlignment="1" applyProtection="1">
      <alignment horizontal="left" vertical="top" wrapText="1"/>
    </xf>
    <xf numFmtId="0" fontId="49" fillId="3" borderId="7" xfId="0" applyFont="1" applyFill="1" applyBorder="1" applyAlignment="1" applyProtection="1">
      <alignment horizontal="left" vertical="top" wrapText="1"/>
    </xf>
    <xf numFmtId="168" fontId="5" fillId="10" borderId="0" xfId="12" applyNumberFormat="1" applyFont="1" applyFill="1" applyBorder="1" applyAlignment="1" applyProtection="1">
      <alignment horizontal="center" vertical="center"/>
    </xf>
    <xf numFmtId="168" fontId="5" fillId="10" borderId="0" xfId="0" applyNumberFormat="1" applyFont="1" applyFill="1" applyBorder="1" applyAlignment="1" applyProtection="1">
      <alignment horizontal="center" vertical="center"/>
    </xf>
    <xf numFmtId="0" fontId="90" fillId="6" borderId="0" xfId="0" applyFont="1" applyFill="1" applyAlignment="1" applyProtection="1">
      <alignment horizontal="center"/>
    </xf>
    <xf numFmtId="0" fontId="20" fillId="10" borderId="0" xfId="0" applyFont="1" applyFill="1" applyBorder="1" applyAlignment="1" applyProtection="1">
      <alignment horizontal="center" vertical="center" wrapText="1"/>
    </xf>
    <xf numFmtId="0" fontId="20" fillId="10" borderId="0" xfId="0" applyFont="1" applyFill="1" applyBorder="1" applyAlignment="1" applyProtection="1">
      <alignment horizontal="left" vertical="center" wrapText="1"/>
    </xf>
    <xf numFmtId="0" fontId="20" fillId="9" borderId="3" xfId="0" applyFont="1" applyFill="1" applyBorder="1" applyAlignment="1" applyProtection="1">
      <alignment horizontal="left" vertical="top" wrapText="1"/>
    </xf>
    <xf numFmtId="0" fontId="20" fillId="9" borderId="0" xfId="0" applyFont="1" applyFill="1" applyBorder="1" applyAlignment="1" applyProtection="1">
      <alignment horizontal="left" vertical="top" wrapText="1"/>
    </xf>
    <xf numFmtId="0" fontId="20" fillId="9" borderId="5" xfId="0" applyFont="1" applyFill="1" applyBorder="1" applyAlignment="1" applyProtection="1">
      <alignment horizontal="left" vertical="top" wrapText="1"/>
    </xf>
    <xf numFmtId="0" fontId="20" fillId="9" borderId="4" xfId="0" applyFont="1" applyFill="1" applyBorder="1" applyAlignment="1" applyProtection="1">
      <alignment horizontal="left" vertical="top" wrapText="1"/>
    </xf>
    <xf numFmtId="0" fontId="46" fillId="9" borderId="33" xfId="0" applyFont="1" applyFill="1" applyBorder="1" applyAlignment="1" applyProtection="1">
      <alignment horizontal="center" vertical="center"/>
    </xf>
    <xf numFmtId="0" fontId="46" fillId="9" borderId="34" xfId="0" applyFont="1" applyFill="1" applyBorder="1" applyAlignment="1" applyProtection="1">
      <alignment horizontal="center" vertical="center"/>
    </xf>
    <xf numFmtId="0" fontId="5" fillId="9" borderId="33" xfId="0" applyFont="1" applyFill="1" applyBorder="1" applyAlignment="1" applyProtection="1">
      <alignment horizontal="center" vertical="center" wrapText="1"/>
    </xf>
    <xf numFmtId="0" fontId="48" fillId="3" borderId="3" xfId="0" applyFont="1" applyFill="1" applyBorder="1" applyAlignment="1" applyProtection="1">
      <alignment horizontal="left" vertical="top"/>
    </xf>
    <xf numFmtId="0" fontId="48" fillId="3" borderId="0" xfId="0" applyFont="1" applyFill="1" applyBorder="1" applyAlignment="1" applyProtection="1">
      <alignment horizontal="left" vertical="top"/>
    </xf>
    <xf numFmtId="0" fontId="48" fillId="3" borderId="9" xfId="0" applyFont="1" applyFill="1" applyBorder="1" applyAlignment="1" applyProtection="1">
      <alignment horizontal="left" vertical="top"/>
    </xf>
    <xf numFmtId="0" fontId="20" fillId="9" borderId="6" xfId="8" applyFont="1" applyFill="1" applyBorder="1" applyAlignment="1">
      <alignment horizontal="center" vertical="center" wrapText="1"/>
    </xf>
    <xf numFmtId="0" fontId="20" fillId="9" borderId="35" xfId="8" applyFont="1" applyFill="1" applyBorder="1" applyAlignment="1">
      <alignment horizontal="center" vertical="center" wrapText="1"/>
    </xf>
    <xf numFmtId="0" fontId="20" fillId="9" borderId="31" xfId="8" applyFont="1" applyFill="1" applyBorder="1" applyAlignment="1">
      <alignment horizontal="center" vertical="center" wrapText="1"/>
    </xf>
    <xf numFmtId="0" fontId="20" fillId="9" borderId="11" xfId="8" applyFont="1" applyFill="1" applyBorder="1" applyAlignment="1">
      <alignment horizontal="center" vertical="center" wrapText="1"/>
    </xf>
    <xf numFmtId="0" fontId="45" fillId="9" borderId="7" xfId="8" quotePrefix="1" applyFont="1" applyFill="1" applyBorder="1" applyAlignment="1">
      <alignment horizontal="center" vertical="center" wrapText="1"/>
    </xf>
    <xf numFmtId="0" fontId="45" fillId="9" borderId="37" xfId="8" quotePrefix="1" applyFont="1" applyFill="1" applyBorder="1" applyAlignment="1">
      <alignment horizontal="center" vertical="center" wrapText="1"/>
    </xf>
    <xf numFmtId="0" fontId="5" fillId="10" borderId="0" xfId="8" applyFont="1" applyFill="1" applyBorder="1" applyAlignment="1">
      <alignment horizontal="left" vertical="top" wrapText="1"/>
    </xf>
    <xf numFmtId="0" fontId="5" fillId="10" borderId="4" xfId="8" applyFont="1" applyFill="1" applyBorder="1" applyAlignment="1">
      <alignment horizontal="left" vertical="top" wrapText="1"/>
    </xf>
    <xf numFmtId="0" fontId="34" fillId="11" borderId="6" xfId="8" applyFont="1" applyFill="1" applyBorder="1" applyAlignment="1">
      <alignment horizontal="left" vertical="top" wrapText="1"/>
    </xf>
    <xf numFmtId="0" fontId="34" fillId="11" borderId="31" xfId="8" applyFont="1" applyFill="1" applyBorder="1" applyAlignment="1">
      <alignment horizontal="left" vertical="top" wrapText="1"/>
    </xf>
    <xf numFmtId="0" fontId="34" fillId="11" borderId="7" xfId="8" applyFont="1" applyFill="1" applyBorder="1" applyAlignment="1">
      <alignment horizontal="left" vertical="top" wrapText="1"/>
    </xf>
    <xf numFmtId="0" fontId="34" fillId="11" borderId="5" xfId="8" applyFont="1" applyFill="1" applyBorder="1" applyAlignment="1">
      <alignment horizontal="left" vertical="top" wrapText="1"/>
    </xf>
    <xf numFmtId="0" fontId="34" fillId="11" borderId="4" xfId="8" applyFont="1" applyFill="1" applyBorder="1" applyAlignment="1">
      <alignment horizontal="left" vertical="top" wrapText="1"/>
    </xf>
    <xf numFmtId="0" fontId="34" fillId="11" borderId="10" xfId="8" applyFont="1" applyFill="1" applyBorder="1" applyAlignment="1">
      <alignment horizontal="left" vertical="top" wrapText="1"/>
    </xf>
    <xf numFmtId="0" fontId="83" fillId="10" borderId="6" xfId="8" applyFont="1" applyFill="1" applyBorder="1" applyAlignment="1">
      <alignment horizontal="center" vertical="center" wrapText="1"/>
    </xf>
    <xf numFmtId="0" fontId="83" fillId="10" borderId="31" xfId="8" applyFont="1" applyFill="1" applyBorder="1" applyAlignment="1">
      <alignment horizontal="center" vertical="center" wrapText="1"/>
    </xf>
    <xf numFmtId="0" fontId="83" fillId="10" borderId="7" xfId="8" applyFont="1" applyFill="1" applyBorder="1" applyAlignment="1">
      <alignment horizontal="center" vertical="center" wrapText="1"/>
    </xf>
    <xf numFmtId="0" fontId="5" fillId="10" borderId="0" xfId="8" applyFont="1" applyFill="1" applyBorder="1" applyAlignment="1">
      <alignment horizontal="center" wrapText="1"/>
    </xf>
    <xf numFmtId="0" fontId="74" fillId="10" borderId="0" xfId="8" applyFont="1" applyFill="1" applyBorder="1" applyAlignment="1">
      <alignment horizontal="center"/>
    </xf>
    <xf numFmtId="0" fontId="5" fillId="9" borderId="3" xfId="8" applyFont="1" applyFill="1" applyBorder="1" applyAlignment="1">
      <alignment horizontal="left" wrapText="1"/>
    </xf>
    <xf numFmtId="0" fontId="5" fillId="9" borderId="0" xfId="8" applyFont="1" applyFill="1" applyBorder="1" applyAlignment="1">
      <alignment horizontal="left" wrapText="1"/>
    </xf>
    <xf numFmtId="168" fontId="5" fillId="9" borderId="9" xfId="8" applyNumberFormat="1" applyFont="1" applyFill="1" applyBorder="1" applyAlignment="1">
      <alignment horizontal="center" vertical="center"/>
    </xf>
    <xf numFmtId="0" fontId="5" fillId="9" borderId="3" xfId="8" applyFont="1" applyFill="1" applyBorder="1" applyAlignment="1">
      <alignment horizontal="left" vertical="top" wrapText="1"/>
    </xf>
    <xf numFmtId="0" fontId="5" fillId="9" borderId="0" xfId="8" applyFont="1" applyFill="1" applyBorder="1" applyAlignment="1">
      <alignment horizontal="left" vertical="top" wrapText="1"/>
    </xf>
    <xf numFmtId="0" fontId="5" fillId="9" borderId="5" xfId="8" applyFont="1" applyFill="1" applyBorder="1" applyAlignment="1">
      <alignment horizontal="left" vertical="top" wrapText="1"/>
    </xf>
    <xf numFmtId="0" fontId="5" fillId="9" borderId="4" xfId="8" applyFont="1" applyFill="1" applyBorder="1" applyAlignment="1">
      <alignment horizontal="left" vertical="top" wrapText="1"/>
    </xf>
    <xf numFmtId="168" fontId="5" fillId="9" borderId="10" xfId="8" applyNumberFormat="1" applyFont="1" applyFill="1" applyBorder="1" applyAlignment="1">
      <alignment horizontal="center" vertical="center"/>
    </xf>
    <xf numFmtId="0" fontId="55" fillId="9" borderId="36" xfId="8" applyFont="1" applyFill="1" applyBorder="1" applyAlignment="1">
      <alignment horizontal="center" vertical="center" wrapText="1"/>
    </xf>
    <xf numFmtId="0" fontId="55" fillId="9" borderId="33" xfId="8" applyFont="1" applyFill="1" applyBorder="1" applyAlignment="1">
      <alignment horizontal="center" vertical="center" wrapText="1"/>
    </xf>
    <xf numFmtId="0" fontId="55" fillId="9" borderId="34" xfId="8" applyFont="1" applyFill="1" applyBorder="1" applyAlignment="1">
      <alignment horizontal="center" vertical="center" wrapText="1"/>
    </xf>
    <xf numFmtId="0" fontId="5" fillId="9" borderId="34" xfId="0" applyFont="1" applyFill="1" applyBorder="1" applyAlignment="1" applyProtection="1">
      <alignment horizontal="center" vertical="center" wrapText="1"/>
    </xf>
    <xf numFmtId="168" fontId="55" fillId="9" borderId="0" xfId="0" applyNumberFormat="1" applyFont="1" applyFill="1" applyBorder="1" applyAlignment="1" applyProtection="1">
      <alignment horizontal="center"/>
    </xf>
    <xf numFmtId="168" fontId="55" fillId="9" borderId="9" xfId="0" applyNumberFormat="1" applyFont="1" applyFill="1" applyBorder="1" applyAlignment="1" applyProtection="1">
      <alignment horizontal="center"/>
    </xf>
    <xf numFmtId="168" fontId="5" fillId="9" borderId="0" xfId="0" applyNumberFormat="1" applyFont="1" applyFill="1" applyBorder="1" applyAlignment="1" applyProtection="1">
      <alignment horizontal="center"/>
    </xf>
    <xf numFmtId="168" fontId="5" fillId="9" borderId="9" xfId="0" applyNumberFormat="1" applyFont="1" applyFill="1" applyBorder="1" applyAlignment="1" applyProtection="1">
      <alignment horizontal="center"/>
    </xf>
    <xf numFmtId="168" fontId="5" fillId="9" borderId="4" xfId="0" applyNumberFormat="1" applyFont="1" applyFill="1" applyBorder="1" applyAlignment="1" applyProtection="1">
      <alignment horizontal="center"/>
    </xf>
    <xf numFmtId="168" fontId="5" fillId="9" borderId="10" xfId="0" applyNumberFormat="1" applyFont="1" applyFill="1" applyBorder="1" applyAlignment="1" applyProtection="1">
      <alignment horizontal="center"/>
    </xf>
    <xf numFmtId="0" fontId="34" fillId="11" borderId="1" xfId="0" applyFont="1" applyFill="1" applyBorder="1" applyAlignment="1" applyProtection="1">
      <alignment horizontal="left" vertical="top" wrapText="1"/>
    </xf>
    <xf numFmtId="0" fontId="34" fillId="11" borderId="32" xfId="0" applyFont="1" applyFill="1" applyBorder="1" applyAlignment="1" applyProtection="1">
      <alignment horizontal="left" vertical="top" wrapText="1"/>
    </xf>
    <xf numFmtId="0" fontId="34" fillId="11" borderId="2" xfId="0" applyFont="1" applyFill="1" applyBorder="1" applyAlignment="1" applyProtection="1">
      <alignment horizontal="left" vertical="top" wrapText="1"/>
    </xf>
    <xf numFmtId="0" fontId="46" fillId="9" borderId="33" xfId="0" applyFont="1" applyFill="1" applyBorder="1" applyAlignment="1" applyProtection="1">
      <alignment horizontal="center" vertical="center" wrapText="1"/>
    </xf>
    <xf numFmtId="0" fontId="46" fillId="9" borderId="34" xfId="0" applyFont="1" applyFill="1" applyBorder="1" applyAlignment="1" applyProtection="1">
      <alignment horizontal="center" vertical="center" wrapText="1"/>
    </xf>
    <xf numFmtId="0" fontId="34" fillId="3" borderId="5" xfId="0" applyFont="1" applyFill="1" applyBorder="1" applyAlignment="1" applyProtection="1">
      <alignment horizontal="left" vertical="top" wrapText="1"/>
    </xf>
    <xf numFmtId="0" fontId="34" fillId="3" borderId="4" xfId="0" applyFont="1" applyFill="1" applyBorder="1" applyAlignment="1" applyProtection="1">
      <alignment horizontal="left" vertical="top" wrapText="1"/>
    </xf>
    <xf numFmtId="0" fontId="34" fillId="3" borderId="10" xfId="0" applyFont="1" applyFill="1" applyBorder="1" applyAlignment="1" applyProtection="1">
      <alignment horizontal="left" vertical="top" wrapText="1"/>
    </xf>
    <xf numFmtId="0" fontId="59" fillId="10" borderId="6" xfId="0" applyFont="1" applyFill="1" applyBorder="1" applyAlignment="1" applyProtection="1">
      <alignment horizontal="center" vertical="center"/>
    </xf>
    <xf numFmtId="0" fontId="59" fillId="10" borderId="31" xfId="0" applyFont="1" applyFill="1" applyBorder="1" applyAlignment="1" applyProtection="1">
      <alignment horizontal="center" vertical="center"/>
    </xf>
    <xf numFmtId="0" fontId="59" fillId="10" borderId="7" xfId="0" applyFont="1" applyFill="1" applyBorder="1" applyAlignment="1" applyProtection="1">
      <alignment horizontal="center" vertical="center"/>
    </xf>
    <xf numFmtId="0" fontId="46" fillId="3" borderId="0" xfId="0" applyFont="1" applyFill="1" applyBorder="1" applyAlignment="1" applyProtection="1">
      <alignment horizontal="left" vertical="center" wrapText="1"/>
    </xf>
    <xf numFmtId="0" fontId="46" fillId="3" borderId="9" xfId="0" applyFont="1" applyFill="1" applyBorder="1" applyAlignment="1" applyProtection="1">
      <alignment horizontal="left" vertical="center" wrapText="1"/>
    </xf>
    <xf numFmtId="3" fontId="5" fillId="9" borderId="4" xfId="0" applyNumberFormat="1" applyFont="1" applyFill="1" applyBorder="1" applyAlignment="1" applyProtection="1">
      <alignment horizontal="center"/>
    </xf>
    <xf numFmtId="0" fontId="5" fillId="10" borderId="3" xfId="0" applyFont="1" applyFill="1" applyBorder="1" applyAlignment="1" applyProtection="1">
      <alignment horizontal="left" vertical="top" wrapText="1"/>
    </xf>
    <xf numFmtId="0" fontId="5" fillId="10" borderId="9" xfId="0" applyFont="1" applyFill="1" applyBorder="1" applyAlignment="1" applyProtection="1">
      <alignment horizontal="left" vertical="top" wrapText="1"/>
    </xf>
    <xf numFmtId="0" fontId="74" fillId="6" borderId="0" xfId="8" applyFont="1" applyFill="1" applyBorder="1" applyAlignment="1">
      <alignment horizontal="center"/>
    </xf>
    <xf numFmtId="0" fontId="20" fillId="9" borderId="31" xfId="8" applyFont="1" applyFill="1" applyBorder="1" applyAlignment="1">
      <alignment horizontal="center" wrapText="1"/>
    </xf>
    <xf numFmtId="0" fontId="20" fillId="9" borderId="11" xfId="8" applyFont="1" applyFill="1" applyBorder="1" applyAlignment="1">
      <alignment horizontal="center" wrapText="1"/>
    </xf>
    <xf numFmtId="0" fontId="20" fillId="9" borderId="7" xfId="8" applyFont="1" applyFill="1" applyBorder="1" applyAlignment="1">
      <alignment horizontal="center" wrapText="1"/>
    </xf>
    <xf numFmtId="0" fontId="20" fillId="9" borderId="37" xfId="8" applyFont="1" applyFill="1" applyBorder="1" applyAlignment="1">
      <alignment horizontal="center" wrapText="1"/>
    </xf>
    <xf numFmtId="0" fontId="20" fillId="9" borderId="6" xfId="8" applyFont="1" applyFill="1" applyBorder="1" applyAlignment="1">
      <alignment horizontal="center" wrapText="1"/>
    </xf>
    <xf numFmtId="0" fontId="20" fillId="9" borderId="35" xfId="8" applyFont="1" applyFill="1" applyBorder="1" applyAlignment="1">
      <alignment horizontal="center" wrapText="1"/>
    </xf>
    <xf numFmtId="0" fontId="34" fillId="11" borderId="1" xfId="8" applyFont="1" applyFill="1" applyBorder="1" applyAlignment="1">
      <alignment horizontal="left" vertical="center" wrapText="1"/>
    </xf>
    <xf numFmtId="0" fontId="34" fillId="11" borderId="32" xfId="8" applyFont="1" applyFill="1" applyBorder="1" applyAlignment="1">
      <alignment horizontal="left" vertical="center" wrapText="1"/>
    </xf>
    <xf numFmtId="0" fontId="34" fillId="11" borderId="2" xfId="8" applyFont="1" applyFill="1" applyBorder="1" applyAlignment="1">
      <alignment horizontal="left" vertical="center" wrapText="1"/>
    </xf>
    <xf numFmtId="0" fontId="34" fillId="10" borderId="9" xfId="8" applyFont="1" applyFill="1" applyBorder="1" applyAlignment="1">
      <alignment horizontal="left" vertical="top" wrapText="1"/>
    </xf>
  </cellXfs>
  <cellStyles count="18">
    <cellStyle name="Comma" xfId="1" builtinId="3"/>
    <cellStyle name="Comma 2" xfId="14"/>
    <cellStyle name="Currency" xfId="12" builtinId="4"/>
    <cellStyle name="Currency 2" xfId="6"/>
    <cellStyle name="Hyperlink" xfId="17" builtinId="8"/>
    <cellStyle name="Normal" xfId="0" builtinId="0"/>
    <cellStyle name="Normal 11" xfId="7"/>
    <cellStyle name="Normal 2" xfId="8"/>
    <cellStyle name="Normal 2 2" xfId="16"/>
    <cellStyle name="Normal 3" xfId="9"/>
    <cellStyle name="Normal 3 2" xfId="10"/>
    <cellStyle name="Normal 7" xfId="5"/>
    <cellStyle name="Normal 7 2" xfId="15"/>
    <cellStyle name="Normal 8" xfId="3"/>
    <cellStyle name="Normal 8 2" xfId="13"/>
    <cellStyle name="Normal_Query RATE REPORT from Databank_3" xfId="4"/>
    <cellStyle name="Percent" xfId="2" builtinId="5"/>
    <cellStyle name="Percent 2" xfId="11"/>
  </cellStyles>
  <dxfs count="22">
    <dxf>
      <font>
        <color theme="1"/>
      </font>
      <fill>
        <patternFill>
          <bgColor theme="1"/>
        </patternFill>
      </fill>
    </dxf>
    <dxf>
      <fill>
        <patternFill>
          <bgColor theme="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Monthly Residential Bill</a:t>
            </a:r>
          </a:p>
        </c:rich>
      </c:tx>
      <c:overlay val="1"/>
    </c:title>
    <c:autoTitleDeleted val="0"/>
    <c:plotArea>
      <c:layout>
        <c:manualLayout>
          <c:layoutTarget val="inner"/>
          <c:xMode val="edge"/>
          <c:yMode val="edge"/>
          <c:x val="8.4581895455108844E-2"/>
          <c:y val="0.11272083035075163"/>
          <c:w val="0.91541808729675966"/>
          <c:h val="0.71371009305654975"/>
        </c:manualLayout>
      </c:layout>
      <c:lineChart>
        <c:grouping val="standard"/>
        <c:varyColors val="0"/>
        <c:ser>
          <c:idx val="1"/>
          <c:order val="0"/>
          <c:tx>
            <c:v>REFERENCE rates</c:v>
          </c:tx>
          <c:spPr>
            <a:ln>
              <a:solidFill>
                <a:schemeClr val="tx1">
                  <a:lumMod val="50000"/>
                  <a:lumOff val="50000"/>
                </a:schemeClr>
              </a:solidFill>
              <a:prstDash val="sysDash"/>
            </a:ln>
          </c:spPr>
          <c:marker>
            <c:symbol val="none"/>
          </c:marker>
          <c:cat>
            <c:numRef>
              <c:f>'Input REFERENCE Rates'!$C$57:$C$82</c:f>
              <c:numCache>
                <c:formatCode>#,##0</c:formatCode>
                <c:ptCount val="26"/>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numCache>
            </c:numRef>
          </c:cat>
          <c:val>
            <c:numRef>
              <c:f>'Input REFERENCE Rates'!$F$57:$F$82</c:f>
              <c:numCache>
                <c:formatCode>"$"#,##0.00</c:formatCode>
                <c:ptCount val="26"/>
                <c:pt idx="0">
                  <c:v>5</c:v>
                </c:pt>
                <c:pt idx="1">
                  <c:v>7.5</c:v>
                </c:pt>
                <c:pt idx="2">
                  <c:v>10</c:v>
                </c:pt>
                <c:pt idx="3">
                  <c:v>12.5</c:v>
                </c:pt>
                <c:pt idx="4">
                  <c:v>15</c:v>
                </c:pt>
                <c:pt idx="5">
                  <c:v>17.5</c:v>
                </c:pt>
                <c:pt idx="6">
                  <c:v>20</c:v>
                </c:pt>
                <c:pt idx="7">
                  <c:v>22.5</c:v>
                </c:pt>
                <c:pt idx="8">
                  <c:v>25</c:v>
                </c:pt>
                <c:pt idx="9">
                  <c:v>27.5</c:v>
                </c:pt>
                <c:pt idx="10">
                  <c:v>30</c:v>
                </c:pt>
                <c:pt idx="11">
                  <c:v>32.5</c:v>
                </c:pt>
                <c:pt idx="12">
                  <c:v>35</c:v>
                </c:pt>
                <c:pt idx="13">
                  <c:v>37.5</c:v>
                </c:pt>
                <c:pt idx="14">
                  <c:v>40</c:v>
                </c:pt>
                <c:pt idx="15">
                  <c:v>42.5</c:v>
                </c:pt>
                <c:pt idx="16">
                  <c:v>45</c:v>
                </c:pt>
                <c:pt idx="17">
                  <c:v>47.5</c:v>
                </c:pt>
                <c:pt idx="18">
                  <c:v>50</c:v>
                </c:pt>
                <c:pt idx="19">
                  <c:v>52.5</c:v>
                </c:pt>
                <c:pt idx="20">
                  <c:v>55</c:v>
                </c:pt>
                <c:pt idx="21">
                  <c:v>57.5</c:v>
                </c:pt>
                <c:pt idx="22">
                  <c:v>60</c:v>
                </c:pt>
                <c:pt idx="23">
                  <c:v>62.5</c:v>
                </c:pt>
                <c:pt idx="24">
                  <c:v>65</c:v>
                </c:pt>
                <c:pt idx="25">
                  <c:v>67.5</c:v>
                </c:pt>
              </c:numCache>
            </c:numRef>
          </c:val>
          <c:smooth val="0"/>
        </c:ser>
        <c:dLbls>
          <c:showLegendKey val="0"/>
          <c:showVal val="0"/>
          <c:showCatName val="0"/>
          <c:showSerName val="0"/>
          <c:showPercent val="0"/>
          <c:showBubbleSize val="0"/>
        </c:dLbls>
        <c:marker val="1"/>
        <c:smooth val="0"/>
        <c:axId val="151493632"/>
        <c:axId val="153584768"/>
      </c:lineChart>
      <c:catAx>
        <c:axId val="151493632"/>
        <c:scaling>
          <c:orientation val="minMax"/>
        </c:scaling>
        <c:delete val="0"/>
        <c:axPos val="b"/>
        <c:majorGridlines>
          <c:spPr>
            <a:ln>
              <a:solidFill>
                <a:schemeClr val="bg1">
                  <a:lumMod val="85000"/>
                </a:schemeClr>
              </a:solidFill>
            </a:ln>
          </c:spPr>
        </c:majorGridlines>
        <c:title>
          <c:tx>
            <c:rich>
              <a:bodyPr/>
              <a:lstStyle/>
              <a:p>
                <a:pPr>
                  <a:defRPr sz="1400" b="1"/>
                </a:pPr>
                <a:r>
                  <a:rPr lang="en-US" sz="1400" b="1"/>
                  <a:t>gallons/month</a:t>
                </a:r>
              </a:p>
            </c:rich>
          </c:tx>
          <c:overlay val="0"/>
        </c:title>
        <c:numFmt formatCode="#,##0" sourceLinked="1"/>
        <c:majorTickMark val="out"/>
        <c:minorTickMark val="none"/>
        <c:tickLblPos val="nextTo"/>
        <c:txPr>
          <a:bodyPr/>
          <a:lstStyle/>
          <a:p>
            <a:pPr>
              <a:defRPr sz="1100"/>
            </a:pPr>
            <a:endParaRPr lang="en-US"/>
          </a:p>
        </c:txPr>
        <c:crossAx val="153584768"/>
        <c:crosses val="autoZero"/>
        <c:auto val="1"/>
        <c:lblAlgn val="ctr"/>
        <c:lblOffset val="100"/>
        <c:noMultiLvlLbl val="0"/>
      </c:catAx>
      <c:valAx>
        <c:axId val="153584768"/>
        <c:scaling>
          <c:orientation val="minMax"/>
        </c:scaling>
        <c:delete val="0"/>
        <c:axPos val="l"/>
        <c:majorGridlines>
          <c:spPr>
            <a:ln>
              <a:solidFill>
                <a:schemeClr val="bg1">
                  <a:lumMod val="85000"/>
                </a:schemeClr>
              </a:solidFill>
            </a:ln>
          </c:spPr>
        </c:majorGridlines>
        <c:numFmt formatCode="&quot;$&quot;#,##0" sourceLinked="0"/>
        <c:majorTickMark val="out"/>
        <c:minorTickMark val="none"/>
        <c:tickLblPos val="nextTo"/>
        <c:txPr>
          <a:bodyPr/>
          <a:lstStyle/>
          <a:p>
            <a:pPr>
              <a:defRPr sz="1200"/>
            </a:pPr>
            <a:endParaRPr lang="en-US"/>
          </a:p>
        </c:txPr>
        <c:crossAx val="151493632"/>
        <c:crosses val="autoZero"/>
        <c:crossBetween val="midCat"/>
      </c:valAx>
    </c:plotArea>
    <c:legend>
      <c:legendPos val="r"/>
      <c:layout>
        <c:manualLayout>
          <c:xMode val="edge"/>
          <c:yMode val="edge"/>
          <c:x val="0.66064041994750677"/>
          <c:y val="0.59722858506323051"/>
          <c:w val="0.32653908691199207"/>
          <c:h val="0.1920016702457647"/>
        </c:manualLayout>
      </c:layout>
      <c:overlay val="0"/>
      <c:txPr>
        <a:bodyPr/>
        <a:lstStyle/>
        <a:p>
          <a:pPr>
            <a:defRPr sz="1200"/>
          </a:pPr>
          <a:endParaRPr lang="en-US"/>
        </a:p>
      </c:txPr>
    </c:legend>
    <c:plotVisOnly val="1"/>
    <c:dispBlanksAs val="gap"/>
    <c:showDLblsOverMax val="0"/>
  </c:chart>
  <c:spPr>
    <a:solidFill>
      <a:schemeClr val="bg1">
        <a:lumMod val="95000"/>
      </a:schemeClr>
    </a:solidFill>
    <a:ln w="25400" cap="flat" cmpd="sng" algn="ctr">
      <a:solidFill>
        <a:schemeClr val="tx2"/>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Monthly Residential Bill</a:t>
            </a:r>
          </a:p>
        </c:rich>
      </c:tx>
      <c:overlay val="1"/>
    </c:title>
    <c:autoTitleDeleted val="0"/>
    <c:plotArea>
      <c:layout>
        <c:manualLayout>
          <c:layoutTarget val="inner"/>
          <c:xMode val="edge"/>
          <c:yMode val="edge"/>
          <c:x val="8.4581895455108844E-2"/>
          <c:y val="0.11272083035075163"/>
          <c:w val="0.91541808729675966"/>
          <c:h val="0.71371009305654975"/>
        </c:manualLayout>
      </c:layout>
      <c:lineChart>
        <c:grouping val="standard"/>
        <c:varyColors val="0"/>
        <c:ser>
          <c:idx val="0"/>
          <c:order val="0"/>
          <c:tx>
            <c:v>COMPARATIVE Rates</c:v>
          </c:tx>
          <c:spPr>
            <a:ln>
              <a:prstDash val="solid"/>
            </a:ln>
          </c:spPr>
          <c:marker>
            <c:symbol val="none"/>
          </c:marker>
          <c:cat>
            <c:numRef>
              <c:f>'Input REFERENCE Rates'!$C$57:$C$82</c:f>
              <c:numCache>
                <c:formatCode>#,##0</c:formatCode>
                <c:ptCount val="26"/>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numCache>
            </c:numRef>
          </c:cat>
          <c:val>
            <c:numRef>
              <c:f>'Input COMPARATIVE Rates'!$F$55:$F$80</c:f>
              <c:numCache>
                <c:formatCode>"$"#,##0.00</c:formatCode>
                <c:ptCount val="26"/>
                <c:pt idx="0">
                  <c:v>8</c:v>
                </c:pt>
                <c:pt idx="1">
                  <c:v>9.5</c:v>
                </c:pt>
                <c:pt idx="2">
                  <c:v>11</c:v>
                </c:pt>
                <c:pt idx="3">
                  <c:v>13.5</c:v>
                </c:pt>
                <c:pt idx="4">
                  <c:v>16</c:v>
                </c:pt>
                <c:pt idx="5">
                  <c:v>18.5</c:v>
                </c:pt>
                <c:pt idx="6">
                  <c:v>21</c:v>
                </c:pt>
                <c:pt idx="7">
                  <c:v>23.5</c:v>
                </c:pt>
                <c:pt idx="8">
                  <c:v>26</c:v>
                </c:pt>
                <c:pt idx="9">
                  <c:v>28.5</c:v>
                </c:pt>
                <c:pt idx="10">
                  <c:v>31</c:v>
                </c:pt>
                <c:pt idx="11">
                  <c:v>33.5</c:v>
                </c:pt>
                <c:pt idx="12">
                  <c:v>36</c:v>
                </c:pt>
                <c:pt idx="13">
                  <c:v>38.5</c:v>
                </c:pt>
                <c:pt idx="14">
                  <c:v>41</c:v>
                </c:pt>
                <c:pt idx="15">
                  <c:v>43.5</c:v>
                </c:pt>
                <c:pt idx="16">
                  <c:v>46</c:v>
                </c:pt>
                <c:pt idx="17">
                  <c:v>48.5</c:v>
                </c:pt>
                <c:pt idx="18">
                  <c:v>51</c:v>
                </c:pt>
                <c:pt idx="19">
                  <c:v>53.5</c:v>
                </c:pt>
                <c:pt idx="20">
                  <c:v>56</c:v>
                </c:pt>
                <c:pt idx="21">
                  <c:v>58.5</c:v>
                </c:pt>
                <c:pt idx="22">
                  <c:v>61</c:v>
                </c:pt>
                <c:pt idx="23">
                  <c:v>63.5</c:v>
                </c:pt>
                <c:pt idx="24">
                  <c:v>66</c:v>
                </c:pt>
                <c:pt idx="25">
                  <c:v>68.5</c:v>
                </c:pt>
              </c:numCache>
            </c:numRef>
          </c:val>
          <c:smooth val="0"/>
        </c:ser>
        <c:ser>
          <c:idx val="1"/>
          <c:order val="1"/>
          <c:tx>
            <c:v>REFERENCE Rates</c:v>
          </c:tx>
          <c:spPr>
            <a:ln>
              <a:solidFill>
                <a:schemeClr val="tx1">
                  <a:lumMod val="50000"/>
                  <a:lumOff val="50000"/>
                </a:schemeClr>
              </a:solidFill>
              <a:prstDash val="sysDash"/>
            </a:ln>
          </c:spPr>
          <c:marker>
            <c:symbol val="none"/>
          </c:marker>
          <c:cat>
            <c:numRef>
              <c:f>'Input REFERENCE Rates'!$C$57:$C$82</c:f>
              <c:numCache>
                <c:formatCode>#,##0</c:formatCode>
                <c:ptCount val="26"/>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numCache>
            </c:numRef>
          </c:cat>
          <c:val>
            <c:numRef>
              <c:f>'Input REFERENCE Rates'!$F$57:$F$82</c:f>
              <c:numCache>
                <c:formatCode>"$"#,##0.00</c:formatCode>
                <c:ptCount val="26"/>
                <c:pt idx="0">
                  <c:v>5</c:v>
                </c:pt>
                <c:pt idx="1">
                  <c:v>7.5</c:v>
                </c:pt>
                <c:pt idx="2">
                  <c:v>10</c:v>
                </c:pt>
                <c:pt idx="3">
                  <c:v>12.5</c:v>
                </c:pt>
                <c:pt idx="4">
                  <c:v>15</c:v>
                </c:pt>
                <c:pt idx="5">
                  <c:v>17.5</c:v>
                </c:pt>
                <c:pt idx="6">
                  <c:v>20</c:v>
                </c:pt>
                <c:pt idx="7">
                  <c:v>22.5</c:v>
                </c:pt>
                <c:pt idx="8">
                  <c:v>25</c:v>
                </c:pt>
                <c:pt idx="9">
                  <c:v>27.5</c:v>
                </c:pt>
                <c:pt idx="10">
                  <c:v>30</c:v>
                </c:pt>
                <c:pt idx="11">
                  <c:v>32.5</c:v>
                </c:pt>
                <c:pt idx="12">
                  <c:v>35</c:v>
                </c:pt>
                <c:pt idx="13">
                  <c:v>37.5</c:v>
                </c:pt>
                <c:pt idx="14">
                  <c:v>40</c:v>
                </c:pt>
                <c:pt idx="15">
                  <c:v>42.5</c:v>
                </c:pt>
                <c:pt idx="16">
                  <c:v>45</c:v>
                </c:pt>
                <c:pt idx="17">
                  <c:v>47.5</c:v>
                </c:pt>
                <c:pt idx="18">
                  <c:v>50</c:v>
                </c:pt>
                <c:pt idx="19">
                  <c:v>52.5</c:v>
                </c:pt>
                <c:pt idx="20">
                  <c:v>55</c:v>
                </c:pt>
                <c:pt idx="21">
                  <c:v>57.5</c:v>
                </c:pt>
                <c:pt idx="22">
                  <c:v>60</c:v>
                </c:pt>
                <c:pt idx="23">
                  <c:v>62.5</c:v>
                </c:pt>
                <c:pt idx="24">
                  <c:v>65</c:v>
                </c:pt>
                <c:pt idx="25">
                  <c:v>67.5</c:v>
                </c:pt>
              </c:numCache>
            </c:numRef>
          </c:val>
          <c:smooth val="0"/>
        </c:ser>
        <c:dLbls>
          <c:showLegendKey val="0"/>
          <c:showVal val="0"/>
          <c:showCatName val="0"/>
          <c:showSerName val="0"/>
          <c:showPercent val="0"/>
          <c:showBubbleSize val="0"/>
        </c:dLbls>
        <c:marker val="1"/>
        <c:smooth val="0"/>
        <c:axId val="153524480"/>
        <c:axId val="153608576"/>
      </c:lineChart>
      <c:catAx>
        <c:axId val="153524480"/>
        <c:scaling>
          <c:orientation val="minMax"/>
        </c:scaling>
        <c:delete val="0"/>
        <c:axPos val="b"/>
        <c:majorGridlines>
          <c:spPr>
            <a:ln>
              <a:solidFill>
                <a:schemeClr val="bg1">
                  <a:lumMod val="85000"/>
                </a:schemeClr>
              </a:solidFill>
            </a:ln>
          </c:spPr>
        </c:majorGridlines>
        <c:title>
          <c:tx>
            <c:rich>
              <a:bodyPr/>
              <a:lstStyle/>
              <a:p>
                <a:pPr>
                  <a:defRPr sz="1400"/>
                </a:pPr>
                <a:r>
                  <a:rPr lang="en-US" sz="1400"/>
                  <a:t>gallons/month</a:t>
                </a:r>
              </a:p>
            </c:rich>
          </c:tx>
          <c:overlay val="0"/>
        </c:title>
        <c:numFmt formatCode="#,##0" sourceLinked="1"/>
        <c:majorTickMark val="out"/>
        <c:minorTickMark val="none"/>
        <c:tickLblPos val="nextTo"/>
        <c:txPr>
          <a:bodyPr/>
          <a:lstStyle/>
          <a:p>
            <a:pPr>
              <a:defRPr sz="1100"/>
            </a:pPr>
            <a:endParaRPr lang="en-US"/>
          </a:p>
        </c:txPr>
        <c:crossAx val="153608576"/>
        <c:crosses val="autoZero"/>
        <c:auto val="1"/>
        <c:lblAlgn val="ctr"/>
        <c:lblOffset val="100"/>
        <c:noMultiLvlLbl val="0"/>
      </c:catAx>
      <c:valAx>
        <c:axId val="153608576"/>
        <c:scaling>
          <c:orientation val="minMax"/>
        </c:scaling>
        <c:delete val="0"/>
        <c:axPos val="l"/>
        <c:majorGridlines>
          <c:spPr>
            <a:ln>
              <a:solidFill>
                <a:schemeClr val="bg1">
                  <a:lumMod val="85000"/>
                </a:schemeClr>
              </a:solidFill>
            </a:ln>
          </c:spPr>
        </c:majorGridlines>
        <c:numFmt formatCode="&quot;$&quot;#,##0" sourceLinked="0"/>
        <c:majorTickMark val="out"/>
        <c:minorTickMark val="none"/>
        <c:tickLblPos val="nextTo"/>
        <c:crossAx val="153524480"/>
        <c:crosses val="autoZero"/>
        <c:crossBetween val="midCat"/>
      </c:valAx>
      <c:spPr>
        <a:ln>
          <a:solidFill>
            <a:schemeClr val="tx2"/>
          </a:solidFill>
        </a:ln>
      </c:spPr>
    </c:plotArea>
    <c:legend>
      <c:legendPos val="r"/>
      <c:layout>
        <c:manualLayout>
          <c:xMode val="edge"/>
          <c:yMode val="edge"/>
          <c:x val="0.66064041994750677"/>
          <c:y val="0.59722858506323051"/>
          <c:w val="0.31496224510397747"/>
          <c:h val="0.10959341445955621"/>
        </c:manualLayout>
      </c:layout>
      <c:overlay val="0"/>
    </c:legend>
    <c:plotVisOnly val="1"/>
    <c:dispBlanksAs val="gap"/>
    <c:showDLblsOverMax val="0"/>
  </c:chart>
  <c:spPr>
    <a:solidFill>
      <a:schemeClr val="bg1">
        <a:lumMod val="95000"/>
      </a:schemeClr>
    </a:solidFill>
    <a:ln w="25400" cap="flat" cmpd="sng" algn="ctr">
      <a:solidFill>
        <a:schemeClr val="tx2"/>
      </a:solidFill>
      <a:prstDash val="solid"/>
    </a:ln>
    <a:effectLst/>
  </c:spPr>
  <c:txPr>
    <a:bodyPr/>
    <a:lstStyle/>
    <a:p>
      <a:pPr>
        <a:defRPr sz="1200">
          <a:solidFill>
            <a:schemeClr val="dk1"/>
          </a:solidFill>
          <a:latin typeface="+mn-lt"/>
          <a:ea typeface="+mn-ea"/>
          <a:cs typeface="+mn-cs"/>
        </a:defRPr>
      </a:pPr>
      <a:endParaRPr lang="en-U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Expected Annual Revenues from Residential Bills with Reference Rate Structure and No-Change in Demand Distribution</a:t>
            </a:r>
          </a:p>
        </c:rich>
      </c:tx>
      <c:overlay val="0"/>
    </c:title>
    <c:autoTitleDeleted val="0"/>
    <c:plotArea>
      <c:layout>
        <c:manualLayout>
          <c:layoutTarget val="inner"/>
          <c:xMode val="edge"/>
          <c:yMode val="edge"/>
          <c:x val="0.10798688489410521"/>
          <c:y val="0.18808766985307648"/>
          <c:w val="0.72166633651925582"/>
          <c:h val="0.50143746791798627"/>
        </c:manualLayout>
      </c:layout>
      <c:barChart>
        <c:barDir val="col"/>
        <c:grouping val="stacked"/>
        <c:varyColors val="0"/>
        <c:ser>
          <c:idx val="0"/>
          <c:order val="0"/>
          <c:tx>
            <c:strRef>
              <c:f>'Revenues from REFERENCE Rates'!$B$37</c:f>
              <c:strCache>
                <c:ptCount val="1"/>
                <c:pt idx="0">
                  <c:v>Expected revenues from base charges</c:v>
                </c:pt>
              </c:strCache>
            </c:strRef>
          </c:tx>
          <c:spPr>
            <a:solidFill>
              <a:schemeClr val="tx1">
                <a:lumMod val="75000"/>
                <a:lumOff val="25000"/>
              </a:schemeClr>
            </a:solidFill>
          </c:spPr>
          <c:invertIfNegative val="0"/>
          <c:cat>
            <c:strRef>
              <c:f>'Revenues from REFERENCE Rates'!$C$34:$AC$34</c:f>
              <c:strCache>
                <c:ptCount val="27"/>
                <c:pt idx="0">
                  <c:v>0</c:v>
                </c:pt>
                <c:pt idx="1">
                  <c:v>1 - 1000</c:v>
                </c:pt>
                <c:pt idx="2">
                  <c:v>1001 - 2000</c:v>
                </c:pt>
                <c:pt idx="3">
                  <c:v>2001 - 3000</c:v>
                </c:pt>
                <c:pt idx="4">
                  <c:v>3001 - 4000</c:v>
                </c:pt>
                <c:pt idx="5">
                  <c:v>4001 - 5000</c:v>
                </c:pt>
                <c:pt idx="6">
                  <c:v>5001 - 6000</c:v>
                </c:pt>
                <c:pt idx="7">
                  <c:v>6001 - 7000</c:v>
                </c:pt>
                <c:pt idx="8">
                  <c:v>7001 - 8000</c:v>
                </c:pt>
                <c:pt idx="9">
                  <c:v>8001 - 9000</c:v>
                </c:pt>
                <c:pt idx="10">
                  <c:v>9001 - 10000</c:v>
                </c:pt>
                <c:pt idx="11">
                  <c:v>10001 - 11000</c:v>
                </c:pt>
                <c:pt idx="12">
                  <c:v>11001 - 12000</c:v>
                </c:pt>
                <c:pt idx="13">
                  <c:v>12001 - 13000</c:v>
                </c:pt>
                <c:pt idx="14">
                  <c:v>13001 - 14000</c:v>
                </c:pt>
                <c:pt idx="15">
                  <c:v>14001 - 15000</c:v>
                </c:pt>
                <c:pt idx="16">
                  <c:v>15001 - 16000</c:v>
                </c:pt>
                <c:pt idx="17">
                  <c:v>16001 - 17000</c:v>
                </c:pt>
                <c:pt idx="18">
                  <c:v>17001 - 18000</c:v>
                </c:pt>
                <c:pt idx="19">
                  <c:v>18001 - 19000</c:v>
                </c:pt>
                <c:pt idx="20">
                  <c:v>19001 - 20000</c:v>
                </c:pt>
                <c:pt idx="21">
                  <c:v>20001 - 21000</c:v>
                </c:pt>
                <c:pt idx="22">
                  <c:v>21001 - 22000</c:v>
                </c:pt>
                <c:pt idx="23">
                  <c:v>22001 - 23000</c:v>
                </c:pt>
                <c:pt idx="24">
                  <c:v>23001 - 24000</c:v>
                </c:pt>
                <c:pt idx="25">
                  <c:v>24001 - 25000</c:v>
                </c:pt>
                <c:pt idx="26">
                  <c:v>&gt;25,000</c:v>
                </c:pt>
              </c:strCache>
            </c:strRef>
          </c:cat>
          <c:val>
            <c:numRef>
              <c:f>'Revenues from REFERENCE Rates'!$C$37:$AC$37</c:f>
              <c:numCache>
                <c:formatCode>"$"#,##0</c:formatCode>
                <c:ptCount val="27"/>
                <c:pt idx="0">
                  <c:v>335155</c:v>
                </c:pt>
                <c:pt idx="1">
                  <c:v>415270</c:v>
                </c:pt>
                <c:pt idx="2">
                  <c:v>592190</c:v>
                </c:pt>
                <c:pt idx="3">
                  <c:v>600575</c:v>
                </c:pt>
                <c:pt idx="4">
                  <c:v>565710</c:v>
                </c:pt>
                <c:pt idx="5">
                  <c:v>433465</c:v>
                </c:pt>
                <c:pt idx="6">
                  <c:v>340065</c:v>
                </c:pt>
                <c:pt idx="7">
                  <c:v>225435</c:v>
                </c:pt>
                <c:pt idx="8">
                  <c:v>179595</c:v>
                </c:pt>
                <c:pt idx="9">
                  <c:v>111725</c:v>
                </c:pt>
                <c:pt idx="10">
                  <c:v>99350</c:v>
                </c:pt>
                <c:pt idx="11">
                  <c:v>59065</c:v>
                </c:pt>
                <c:pt idx="12">
                  <c:v>59055</c:v>
                </c:pt>
                <c:pt idx="13">
                  <c:v>35375</c:v>
                </c:pt>
                <c:pt idx="14">
                  <c:v>37665</c:v>
                </c:pt>
                <c:pt idx="15">
                  <c:v>23205</c:v>
                </c:pt>
                <c:pt idx="16">
                  <c:v>26115</c:v>
                </c:pt>
                <c:pt idx="17">
                  <c:v>16640</c:v>
                </c:pt>
                <c:pt idx="18">
                  <c:v>19325</c:v>
                </c:pt>
                <c:pt idx="19">
                  <c:v>12300</c:v>
                </c:pt>
                <c:pt idx="20">
                  <c:v>14780</c:v>
                </c:pt>
                <c:pt idx="21">
                  <c:v>13770</c:v>
                </c:pt>
                <c:pt idx="22">
                  <c:v>13265</c:v>
                </c:pt>
                <c:pt idx="23">
                  <c:v>12605</c:v>
                </c:pt>
                <c:pt idx="24">
                  <c:v>11605</c:v>
                </c:pt>
                <c:pt idx="25">
                  <c:v>9935</c:v>
                </c:pt>
                <c:pt idx="26">
                  <c:v>58770</c:v>
                </c:pt>
              </c:numCache>
            </c:numRef>
          </c:val>
        </c:ser>
        <c:ser>
          <c:idx val="1"/>
          <c:order val="1"/>
          <c:tx>
            <c:strRef>
              <c:f>'Revenues from REFERENCE Rates'!$B$38</c:f>
              <c:strCache>
                <c:ptCount val="1"/>
                <c:pt idx="0">
                  <c:v>Expected revenues from volumetric charges</c:v>
                </c:pt>
              </c:strCache>
            </c:strRef>
          </c:tx>
          <c:spPr>
            <a:solidFill>
              <a:schemeClr val="bg1">
                <a:lumMod val="65000"/>
              </a:schemeClr>
            </a:solidFill>
          </c:spPr>
          <c:invertIfNegative val="0"/>
          <c:cat>
            <c:strRef>
              <c:f>'Revenues from REFERENCE Rates'!$C$34:$AC$34</c:f>
              <c:strCache>
                <c:ptCount val="27"/>
                <c:pt idx="0">
                  <c:v>0</c:v>
                </c:pt>
                <c:pt idx="1">
                  <c:v>1 - 1000</c:v>
                </c:pt>
                <c:pt idx="2">
                  <c:v>1001 - 2000</c:v>
                </c:pt>
                <c:pt idx="3">
                  <c:v>2001 - 3000</c:v>
                </c:pt>
                <c:pt idx="4">
                  <c:v>3001 - 4000</c:v>
                </c:pt>
                <c:pt idx="5">
                  <c:v>4001 - 5000</c:v>
                </c:pt>
                <c:pt idx="6">
                  <c:v>5001 - 6000</c:v>
                </c:pt>
                <c:pt idx="7">
                  <c:v>6001 - 7000</c:v>
                </c:pt>
                <c:pt idx="8">
                  <c:v>7001 - 8000</c:v>
                </c:pt>
                <c:pt idx="9">
                  <c:v>8001 - 9000</c:v>
                </c:pt>
                <c:pt idx="10">
                  <c:v>9001 - 10000</c:v>
                </c:pt>
                <c:pt idx="11">
                  <c:v>10001 - 11000</c:v>
                </c:pt>
                <c:pt idx="12">
                  <c:v>11001 - 12000</c:v>
                </c:pt>
                <c:pt idx="13">
                  <c:v>12001 - 13000</c:v>
                </c:pt>
                <c:pt idx="14">
                  <c:v>13001 - 14000</c:v>
                </c:pt>
                <c:pt idx="15">
                  <c:v>14001 - 15000</c:v>
                </c:pt>
                <c:pt idx="16">
                  <c:v>15001 - 16000</c:v>
                </c:pt>
                <c:pt idx="17">
                  <c:v>16001 - 17000</c:v>
                </c:pt>
                <c:pt idx="18">
                  <c:v>17001 - 18000</c:v>
                </c:pt>
                <c:pt idx="19">
                  <c:v>18001 - 19000</c:v>
                </c:pt>
                <c:pt idx="20">
                  <c:v>19001 - 20000</c:v>
                </c:pt>
                <c:pt idx="21">
                  <c:v>20001 - 21000</c:v>
                </c:pt>
                <c:pt idx="22">
                  <c:v>21001 - 22000</c:v>
                </c:pt>
                <c:pt idx="23">
                  <c:v>22001 - 23000</c:v>
                </c:pt>
                <c:pt idx="24">
                  <c:v>23001 - 24000</c:v>
                </c:pt>
                <c:pt idx="25">
                  <c:v>24001 - 25000</c:v>
                </c:pt>
                <c:pt idx="26">
                  <c:v>&gt;25,000</c:v>
                </c:pt>
              </c:strCache>
            </c:strRef>
          </c:cat>
          <c:val>
            <c:numRef>
              <c:f>'Revenues from REFERENCE Rates'!$C$38:$AC$38</c:f>
              <c:numCache>
                <c:formatCode>"$"#,##0</c:formatCode>
                <c:ptCount val="27"/>
                <c:pt idx="0">
                  <c:v>0</c:v>
                </c:pt>
                <c:pt idx="1">
                  <c:v>207635</c:v>
                </c:pt>
                <c:pt idx="2">
                  <c:v>592190</c:v>
                </c:pt>
                <c:pt idx="3">
                  <c:v>900862.5</c:v>
                </c:pt>
                <c:pt idx="4">
                  <c:v>1131420</c:v>
                </c:pt>
                <c:pt idx="5">
                  <c:v>1083662.5</c:v>
                </c:pt>
                <c:pt idx="6">
                  <c:v>1020195</c:v>
                </c:pt>
                <c:pt idx="7">
                  <c:v>789022.5</c:v>
                </c:pt>
                <c:pt idx="8">
                  <c:v>718380</c:v>
                </c:pt>
                <c:pt idx="9">
                  <c:v>502762.5</c:v>
                </c:pt>
                <c:pt idx="10">
                  <c:v>496750</c:v>
                </c:pt>
                <c:pt idx="11">
                  <c:v>324857.5</c:v>
                </c:pt>
                <c:pt idx="12">
                  <c:v>354330</c:v>
                </c:pt>
                <c:pt idx="13">
                  <c:v>229937.5</c:v>
                </c:pt>
                <c:pt idx="14">
                  <c:v>263655</c:v>
                </c:pt>
                <c:pt idx="15">
                  <c:v>174037.5</c:v>
                </c:pt>
                <c:pt idx="16">
                  <c:v>208920</c:v>
                </c:pt>
                <c:pt idx="17">
                  <c:v>141440</c:v>
                </c:pt>
                <c:pt idx="18">
                  <c:v>173925</c:v>
                </c:pt>
                <c:pt idx="19">
                  <c:v>116850</c:v>
                </c:pt>
                <c:pt idx="20">
                  <c:v>147800</c:v>
                </c:pt>
                <c:pt idx="21">
                  <c:v>144585</c:v>
                </c:pt>
                <c:pt idx="22">
                  <c:v>145915</c:v>
                </c:pt>
                <c:pt idx="23">
                  <c:v>144957.5</c:v>
                </c:pt>
                <c:pt idx="24">
                  <c:v>139260</c:v>
                </c:pt>
                <c:pt idx="25">
                  <c:v>124187.5</c:v>
                </c:pt>
                <c:pt idx="26">
                  <c:v>808087.5</c:v>
                </c:pt>
              </c:numCache>
            </c:numRef>
          </c:val>
        </c:ser>
        <c:dLbls>
          <c:showLegendKey val="0"/>
          <c:showVal val="0"/>
          <c:showCatName val="0"/>
          <c:showSerName val="0"/>
          <c:showPercent val="0"/>
          <c:showBubbleSize val="0"/>
        </c:dLbls>
        <c:gapWidth val="134"/>
        <c:overlap val="100"/>
        <c:axId val="153968640"/>
        <c:axId val="153970560"/>
      </c:barChart>
      <c:catAx>
        <c:axId val="153968640"/>
        <c:scaling>
          <c:orientation val="minMax"/>
        </c:scaling>
        <c:delete val="0"/>
        <c:axPos val="b"/>
        <c:title>
          <c:tx>
            <c:rich>
              <a:bodyPr/>
              <a:lstStyle/>
              <a:p>
                <a:pPr>
                  <a:defRPr sz="1400"/>
                </a:pPr>
                <a:r>
                  <a:rPr lang="en-US" sz="1400"/>
                  <a:t>gallons/month</a:t>
                </a:r>
              </a:p>
            </c:rich>
          </c:tx>
          <c:layout>
            <c:manualLayout>
              <c:xMode val="edge"/>
              <c:yMode val="edge"/>
              <c:x val="0.42632832747321681"/>
              <c:y val="0.92954505686789146"/>
            </c:manualLayout>
          </c:layout>
          <c:overlay val="0"/>
        </c:title>
        <c:numFmt formatCode="General" sourceLinked="0"/>
        <c:majorTickMark val="out"/>
        <c:minorTickMark val="none"/>
        <c:tickLblPos val="nextTo"/>
        <c:txPr>
          <a:bodyPr rot="-5400000" vert="horz"/>
          <a:lstStyle/>
          <a:p>
            <a:pPr>
              <a:defRPr sz="1100"/>
            </a:pPr>
            <a:endParaRPr lang="en-US"/>
          </a:p>
        </c:txPr>
        <c:crossAx val="153970560"/>
        <c:crosses val="autoZero"/>
        <c:auto val="0"/>
        <c:lblAlgn val="ctr"/>
        <c:lblOffset val="100"/>
        <c:tickLblSkip val="1"/>
        <c:noMultiLvlLbl val="0"/>
      </c:catAx>
      <c:valAx>
        <c:axId val="153970560"/>
        <c:scaling>
          <c:orientation val="minMax"/>
        </c:scaling>
        <c:delete val="0"/>
        <c:axPos val="l"/>
        <c:majorGridlines>
          <c:spPr>
            <a:ln w="12700">
              <a:solidFill>
                <a:schemeClr val="bg1">
                  <a:lumMod val="85000"/>
                </a:schemeClr>
              </a:solidFill>
              <a:prstDash val="solid"/>
            </a:ln>
            <a:effectLst/>
          </c:spPr>
        </c:majorGridlines>
        <c:numFmt formatCode="&quot;$&quot;#,##0" sourceLinked="0"/>
        <c:majorTickMark val="out"/>
        <c:minorTickMark val="none"/>
        <c:tickLblPos val="nextTo"/>
        <c:spPr>
          <a:ln>
            <a:solidFill>
              <a:sysClr val="windowText" lastClr="000000"/>
            </a:solidFill>
          </a:ln>
        </c:spPr>
        <c:txPr>
          <a:bodyPr/>
          <a:lstStyle/>
          <a:p>
            <a:pPr>
              <a:defRPr sz="1200"/>
            </a:pPr>
            <a:endParaRPr lang="en-US"/>
          </a:p>
        </c:txPr>
        <c:crossAx val="153968640"/>
        <c:crosses val="autoZero"/>
        <c:crossBetween val="between"/>
        <c:dispUnits>
          <c:builtInUnit val="thousands"/>
          <c:dispUnitsLbl>
            <c:layout>
              <c:manualLayout>
                <c:xMode val="edge"/>
                <c:yMode val="edge"/>
                <c:x val="1.0821097244919857E-2"/>
                <c:y val="0.1632937202294158"/>
              </c:manualLayout>
            </c:layout>
            <c:txPr>
              <a:bodyPr/>
              <a:lstStyle/>
              <a:p>
                <a:pPr>
                  <a:defRPr sz="1400"/>
                </a:pPr>
                <a:endParaRPr lang="en-US"/>
              </a:p>
            </c:txPr>
          </c:dispUnitsLbl>
        </c:dispUnits>
      </c:valAx>
    </c:plotArea>
    <c:legend>
      <c:legendPos val="r"/>
      <c:layout>
        <c:manualLayout>
          <c:xMode val="edge"/>
          <c:yMode val="edge"/>
          <c:x val="0.84087340597576821"/>
          <c:y val="0.18899873626907748"/>
          <c:w val="0.15912659402423182"/>
          <c:h val="0.49903251676873722"/>
        </c:manualLayout>
      </c:layout>
      <c:overlay val="1"/>
      <c:txPr>
        <a:bodyPr/>
        <a:lstStyle/>
        <a:p>
          <a:pPr>
            <a:defRPr sz="1200"/>
          </a:pPr>
          <a:endParaRPr lang="en-US"/>
        </a:p>
      </c:txPr>
    </c:legend>
    <c:plotVisOnly val="1"/>
    <c:dispBlanksAs val="zero"/>
    <c:showDLblsOverMax val="0"/>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133" l="0.70000000000000095" r="0.70000000000000095" t="0.750000000000001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Projected Annual Revenues from Residential Bills with Comparative Rate</a:t>
            </a:r>
            <a:r>
              <a:rPr lang="en-US" baseline="0"/>
              <a:t> </a:t>
            </a:r>
            <a:r>
              <a:rPr lang="en-US"/>
              <a:t>Structure and Price Elasticity Effects on Customer Demand</a:t>
            </a:r>
          </a:p>
        </c:rich>
      </c:tx>
      <c:overlay val="0"/>
    </c:title>
    <c:autoTitleDeleted val="0"/>
    <c:plotArea>
      <c:layout>
        <c:manualLayout>
          <c:layoutTarget val="inner"/>
          <c:xMode val="edge"/>
          <c:yMode val="edge"/>
          <c:x val="0.11191770250416812"/>
          <c:y val="0.18281755407319519"/>
          <c:w val="0.73364769557107257"/>
          <c:h val="0.50670741095496563"/>
        </c:manualLayout>
      </c:layout>
      <c:barChart>
        <c:barDir val="col"/>
        <c:grouping val="stacked"/>
        <c:varyColors val="0"/>
        <c:ser>
          <c:idx val="0"/>
          <c:order val="0"/>
          <c:tx>
            <c:strRef>
              <c:f>'Revenues from COMPARATIVE Rates'!$B$112</c:f>
              <c:strCache>
                <c:ptCount val="1"/>
                <c:pt idx="0">
                  <c:v>Expected revenues from base charges</c:v>
                </c:pt>
              </c:strCache>
            </c:strRef>
          </c:tx>
          <c:spPr>
            <a:solidFill>
              <a:schemeClr val="tx2"/>
            </a:solidFill>
          </c:spPr>
          <c:invertIfNegative val="0"/>
          <c:cat>
            <c:strRef>
              <c:f>'Revenues from COMPARATIVE Rates'!$C$104:$AC$104</c:f>
              <c:strCache>
                <c:ptCount val="27"/>
                <c:pt idx="0">
                  <c:v>0 </c:v>
                </c:pt>
                <c:pt idx="1">
                  <c:v>1 - 1000</c:v>
                </c:pt>
                <c:pt idx="2">
                  <c:v>1001 - 2000</c:v>
                </c:pt>
                <c:pt idx="3">
                  <c:v>2001 - 3000</c:v>
                </c:pt>
                <c:pt idx="4">
                  <c:v>3001 - 4000</c:v>
                </c:pt>
                <c:pt idx="5">
                  <c:v>4001 - 5000</c:v>
                </c:pt>
                <c:pt idx="6">
                  <c:v>5001 - 6000</c:v>
                </c:pt>
                <c:pt idx="7">
                  <c:v>6001 - 7000</c:v>
                </c:pt>
                <c:pt idx="8">
                  <c:v>7001 - 8000</c:v>
                </c:pt>
                <c:pt idx="9">
                  <c:v>8001 - 9000</c:v>
                </c:pt>
                <c:pt idx="10">
                  <c:v>9001 - 10000</c:v>
                </c:pt>
                <c:pt idx="11">
                  <c:v>10001 - 11000</c:v>
                </c:pt>
                <c:pt idx="12">
                  <c:v>11001 - 12000</c:v>
                </c:pt>
                <c:pt idx="13">
                  <c:v>12001 - 13000</c:v>
                </c:pt>
                <c:pt idx="14">
                  <c:v>13001 - 14000</c:v>
                </c:pt>
                <c:pt idx="15">
                  <c:v>14001 - 15000</c:v>
                </c:pt>
                <c:pt idx="16">
                  <c:v>15001 - 16000</c:v>
                </c:pt>
                <c:pt idx="17">
                  <c:v>16001 - 17000</c:v>
                </c:pt>
                <c:pt idx="18">
                  <c:v>17001 - 18000</c:v>
                </c:pt>
                <c:pt idx="19">
                  <c:v>18001 - 19000</c:v>
                </c:pt>
                <c:pt idx="20">
                  <c:v>19001 - 20000</c:v>
                </c:pt>
                <c:pt idx="21">
                  <c:v>20001 - 21000</c:v>
                </c:pt>
                <c:pt idx="22">
                  <c:v>21001 - 22000</c:v>
                </c:pt>
                <c:pt idx="23">
                  <c:v>22001 - 23000</c:v>
                </c:pt>
                <c:pt idx="24">
                  <c:v>23001 - 24000</c:v>
                </c:pt>
                <c:pt idx="25">
                  <c:v>24001 - 25000</c:v>
                </c:pt>
                <c:pt idx="26">
                  <c:v>&gt;25,000</c:v>
                </c:pt>
              </c:strCache>
            </c:strRef>
          </c:cat>
          <c:val>
            <c:numRef>
              <c:f>'Revenues from COMPARATIVE Rates'!$C$112:$AC$112</c:f>
              <c:numCache>
                <c:formatCode>"$"#,##0</c:formatCode>
                <c:ptCount val="27"/>
                <c:pt idx="0">
                  <c:v>536248</c:v>
                </c:pt>
                <c:pt idx="1">
                  <c:v>671088</c:v>
                </c:pt>
                <c:pt idx="2">
                  <c:v>950536</c:v>
                </c:pt>
                <c:pt idx="3">
                  <c:v>967672</c:v>
                </c:pt>
                <c:pt idx="4">
                  <c:v>907592</c:v>
                </c:pt>
                <c:pt idx="5">
                  <c:v>694416</c:v>
                </c:pt>
                <c:pt idx="6">
                  <c:v>540720</c:v>
                </c:pt>
                <c:pt idx="7">
                  <c:v>359992</c:v>
                </c:pt>
                <c:pt idx="8">
                  <c:v>283232</c:v>
                </c:pt>
                <c:pt idx="9">
                  <c:v>179072</c:v>
                </c:pt>
                <c:pt idx="10">
                  <c:v>155016</c:v>
                </c:pt>
                <c:pt idx="11">
                  <c:v>95456</c:v>
                </c:pt>
                <c:pt idx="12">
                  <c:v>91504</c:v>
                </c:pt>
                <c:pt idx="13">
                  <c:v>57584</c:v>
                </c:pt>
                <c:pt idx="14">
                  <c:v>57968</c:v>
                </c:pt>
                <c:pt idx="15">
                  <c:v>38120</c:v>
                </c:pt>
                <c:pt idx="16">
                  <c:v>40032</c:v>
                </c:pt>
                <c:pt idx="17">
                  <c:v>27552</c:v>
                </c:pt>
                <c:pt idx="18">
                  <c:v>29392</c:v>
                </c:pt>
                <c:pt idx="19">
                  <c:v>20568</c:v>
                </c:pt>
                <c:pt idx="20">
                  <c:v>23592</c:v>
                </c:pt>
                <c:pt idx="21">
                  <c:v>22096</c:v>
                </c:pt>
                <c:pt idx="22">
                  <c:v>21224</c:v>
                </c:pt>
                <c:pt idx="23">
                  <c:v>20032</c:v>
                </c:pt>
                <c:pt idx="24">
                  <c:v>18152</c:v>
                </c:pt>
                <c:pt idx="25">
                  <c:v>13064</c:v>
                </c:pt>
                <c:pt idx="26">
                  <c:v>93304</c:v>
                </c:pt>
              </c:numCache>
            </c:numRef>
          </c:val>
        </c:ser>
        <c:ser>
          <c:idx val="1"/>
          <c:order val="1"/>
          <c:tx>
            <c:strRef>
              <c:f>'Revenues from COMPARATIVE Rates'!$B$113</c:f>
              <c:strCache>
                <c:ptCount val="1"/>
                <c:pt idx="0">
                  <c:v>Expected revenues from volumetric charges</c:v>
                </c:pt>
              </c:strCache>
            </c:strRef>
          </c:tx>
          <c:spPr>
            <a:solidFill>
              <a:schemeClr val="accent1">
                <a:lumMod val="60000"/>
                <a:lumOff val="40000"/>
              </a:schemeClr>
            </a:solidFill>
          </c:spPr>
          <c:invertIfNegative val="0"/>
          <c:cat>
            <c:strRef>
              <c:f>'Revenues from COMPARATIVE Rates'!$C$104:$AC$104</c:f>
              <c:strCache>
                <c:ptCount val="27"/>
                <c:pt idx="0">
                  <c:v>0 </c:v>
                </c:pt>
                <c:pt idx="1">
                  <c:v>1 - 1000</c:v>
                </c:pt>
                <c:pt idx="2">
                  <c:v>1001 - 2000</c:v>
                </c:pt>
                <c:pt idx="3">
                  <c:v>2001 - 3000</c:v>
                </c:pt>
                <c:pt idx="4">
                  <c:v>3001 - 4000</c:v>
                </c:pt>
                <c:pt idx="5">
                  <c:v>4001 - 5000</c:v>
                </c:pt>
                <c:pt idx="6">
                  <c:v>5001 - 6000</c:v>
                </c:pt>
                <c:pt idx="7">
                  <c:v>6001 - 7000</c:v>
                </c:pt>
                <c:pt idx="8">
                  <c:v>7001 - 8000</c:v>
                </c:pt>
                <c:pt idx="9">
                  <c:v>8001 - 9000</c:v>
                </c:pt>
                <c:pt idx="10">
                  <c:v>9001 - 10000</c:v>
                </c:pt>
                <c:pt idx="11">
                  <c:v>10001 - 11000</c:v>
                </c:pt>
                <c:pt idx="12">
                  <c:v>11001 - 12000</c:v>
                </c:pt>
                <c:pt idx="13">
                  <c:v>12001 - 13000</c:v>
                </c:pt>
                <c:pt idx="14">
                  <c:v>13001 - 14000</c:v>
                </c:pt>
                <c:pt idx="15">
                  <c:v>14001 - 15000</c:v>
                </c:pt>
                <c:pt idx="16">
                  <c:v>15001 - 16000</c:v>
                </c:pt>
                <c:pt idx="17">
                  <c:v>16001 - 17000</c:v>
                </c:pt>
                <c:pt idx="18">
                  <c:v>17001 - 18000</c:v>
                </c:pt>
                <c:pt idx="19">
                  <c:v>18001 - 19000</c:v>
                </c:pt>
                <c:pt idx="20">
                  <c:v>19001 - 20000</c:v>
                </c:pt>
                <c:pt idx="21">
                  <c:v>20001 - 21000</c:v>
                </c:pt>
                <c:pt idx="22">
                  <c:v>21001 - 22000</c:v>
                </c:pt>
                <c:pt idx="23">
                  <c:v>22001 - 23000</c:v>
                </c:pt>
                <c:pt idx="24">
                  <c:v>23001 - 24000</c:v>
                </c:pt>
                <c:pt idx="25">
                  <c:v>24001 - 25000</c:v>
                </c:pt>
                <c:pt idx="26">
                  <c:v>&gt;25,000</c:v>
                </c:pt>
              </c:strCache>
            </c:strRef>
          </c:cat>
          <c:val>
            <c:numRef>
              <c:f>'Revenues from COMPARATIVE Rates'!$C$113:$AC$113</c:f>
              <c:numCache>
                <c:formatCode>"$"#,##0</c:formatCode>
                <c:ptCount val="27"/>
                <c:pt idx="0">
                  <c:v>0</c:v>
                </c:pt>
                <c:pt idx="1">
                  <c:v>125829</c:v>
                </c:pt>
                <c:pt idx="2">
                  <c:v>356451</c:v>
                </c:pt>
                <c:pt idx="3">
                  <c:v>665274.5</c:v>
                </c:pt>
                <c:pt idx="4">
                  <c:v>907592</c:v>
                </c:pt>
                <c:pt idx="5">
                  <c:v>911421</c:v>
                </c:pt>
                <c:pt idx="6">
                  <c:v>878670</c:v>
                </c:pt>
                <c:pt idx="7">
                  <c:v>697484.5</c:v>
                </c:pt>
                <c:pt idx="8">
                  <c:v>637272</c:v>
                </c:pt>
                <c:pt idx="9">
                  <c:v>458872</c:v>
                </c:pt>
                <c:pt idx="10">
                  <c:v>445671</c:v>
                </c:pt>
                <c:pt idx="11">
                  <c:v>304266</c:v>
                </c:pt>
                <c:pt idx="12">
                  <c:v>320264</c:v>
                </c:pt>
                <c:pt idx="13">
                  <c:v>219539</c:v>
                </c:pt>
                <c:pt idx="14">
                  <c:v>239118</c:v>
                </c:pt>
                <c:pt idx="15">
                  <c:v>169157.5</c:v>
                </c:pt>
                <c:pt idx="16">
                  <c:v>190152</c:v>
                </c:pt>
                <c:pt idx="17">
                  <c:v>139482</c:v>
                </c:pt>
                <c:pt idx="18">
                  <c:v>157982</c:v>
                </c:pt>
                <c:pt idx="19">
                  <c:v>116980.5</c:v>
                </c:pt>
                <c:pt idx="20">
                  <c:v>141552</c:v>
                </c:pt>
                <c:pt idx="21">
                  <c:v>139481</c:v>
                </c:pt>
                <c:pt idx="22">
                  <c:v>140609</c:v>
                </c:pt>
                <c:pt idx="23">
                  <c:v>138972</c:v>
                </c:pt>
                <c:pt idx="24">
                  <c:v>131602</c:v>
                </c:pt>
                <c:pt idx="25">
                  <c:v>98796.5</c:v>
                </c:pt>
                <c:pt idx="26">
                  <c:v>771449.13500000001</c:v>
                </c:pt>
              </c:numCache>
            </c:numRef>
          </c:val>
        </c:ser>
        <c:dLbls>
          <c:showLegendKey val="0"/>
          <c:showVal val="0"/>
          <c:showCatName val="0"/>
          <c:showSerName val="0"/>
          <c:showPercent val="0"/>
          <c:showBubbleSize val="0"/>
        </c:dLbls>
        <c:gapWidth val="134"/>
        <c:overlap val="100"/>
        <c:axId val="153691264"/>
        <c:axId val="153693184"/>
      </c:barChart>
      <c:catAx>
        <c:axId val="153691264"/>
        <c:scaling>
          <c:orientation val="minMax"/>
        </c:scaling>
        <c:delete val="0"/>
        <c:axPos val="b"/>
        <c:title>
          <c:tx>
            <c:rich>
              <a:bodyPr/>
              <a:lstStyle/>
              <a:p>
                <a:pPr>
                  <a:defRPr sz="1400"/>
                </a:pPr>
                <a:r>
                  <a:rPr lang="en-US" sz="1400"/>
                  <a:t>gallons/month</a:t>
                </a:r>
              </a:p>
            </c:rich>
          </c:tx>
          <c:overlay val="0"/>
        </c:title>
        <c:numFmt formatCode="General" sourceLinked="0"/>
        <c:majorTickMark val="out"/>
        <c:minorTickMark val="none"/>
        <c:tickLblPos val="nextTo"/>
        <c:txPr>
          <a:bodyPr rot="-5400000" vert="horz"/>
          <a:lstStyle/>
          <a:p>
            <a:pPr>
              <a:defRPr sz="1100"/>
            </a:pPr>
            <a:endParaRPr lang="en-US"/>
          </a:p>
        </c:txPr>
        <c:crossAx val="153693184"/>
        <c:crosses val="autoZero"/>
        <c:auto val="0"/>
        <c:lblAlgn val="ctr"/>
        <c:lblOffset val="100"/>
        <c:tickLblSkip val="1"/>
        <c:noMultiLvlLbl val="0"/>
      </c:catAx>
      <c:valAx>
        <c:axId val="153693184"/>
        <c:scaling>
          <c:orientation val="minMax"/>
        </c:scaling>
        <c:delete val="0"/>
        <c:axPos val="l"/>
        <c:majorGridlines>
          <c:spPr>
            <a:ln w="12700">
              <a:solidFill>
                <a:schemeClr val="bg1">
                  <a:lumMod val="85000"/>
                </a:schemeClr>
              </a:solidFill>
              <a:prstDash val="solid"/>
            </a:ln>
            <a:effectLst/>
          </c:spPr>
        </c:majorGridlines>
        <c:numFmt formatCode="&quot;$&quot;#,##0" sourceLinked="0"/>
        <c:majorTickMark val="out"/>
        <c:minorTickMark val="none"/>
        <c:tickLblPos val="nextTo"/>
        <c:txPr>
          <a:bodyPr/>
          <a:lstStyle/>
          <a:p>
            <a:pPr>
              <a:defRPr sz="1200"/>
            </a:pPr>
            <a:endParaRPr lang="en-US"/>
          </a:p>
        </c:txPr>
        <c:crossAx val="153691264"/>
        <c:crosses val="autoZero"/>
        <c:crossBetween val="between"/>
        <c:dispUnits>
          <c:builtInUnit val="thousands"/>
          <c:dispUnitsLbl>
            <c:layout>
              <c:manualLayout>
                <c:xMode val="edge"/>
                <c:yMode val="edge"/>
                <c:x val="1.1961447036101617E-2"/>
                <c:y val="0.15674443472343735"/>
              </c:manualLayout>
            </c:layout>
            <c:txPr>
              <a:bodyPr/>
              <a:lstStyle/>
              <a:p>
                <a:pPr>
                  <a:defRPr sz="1400"/>
                </a:pPr>
                <a:endParaRPr lang="en-US"/>
              </a:p>
            </c:txPr>
          </c:dispUnitsLbl>
        </c:dispUnits>
      </c:valAx>
    </c:plotArea>
    <c:legend>
      <c:legendPos val="r"/>
      <c:layout>
        <c:manualLayout>
          <c:xMode val="edge"/>
          <c:yMode val="edge"/>
          <c:x val="0.85028671239208309"/>
          <c:y val="0.19517157577525032"/>
          <c:w val="0.14971328760791694"/>
          <c:h val="0.50829177602799647"/>
        </c:manualLayout>
      </c:layout>
      <c:overlay val="1"/>
      <c:txPr>
        <a:bodyPr/>
        <a:lstStyle/>
        <a:p>
          <a:pPr>
            <a:defRPr sz="1200"/>
          </a:pPr>
          <a:endParaRPr lang="en-US"/>
        </a:p>
      </c:txPr>
    </c:legend>
    <c:plotVisOnly val="1"/>
    <c:dispBlanksAs val="zero"/>
    <c:showDLblsOverMax val="0"/>
  </c:chart>
  <c:spPr>
    <a:solidFill>
      <a:schemeClr val="bg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133" l="0.70000000000000095" r="0.70000000000000095" t="0.750000000000001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Estimated Annual Number of Residential</a:t>
            </a:r>
            <a:r>
              <a:rPr lang="en-US" baseline="0"/>
              <a:t> </a:t>
            </a:r>
            <a:r>
              <a:rPr lang="en-US"/>
              <a:t>Bills by Volume</a:t>
            </a:r>
          </a:p>
        </c:rich>
      </c:tx>
      <c:overlay val="1"/>
    </c:title>
    <c:autoTitleDeleted val="0"/>
    <c:plotArea>
      <c:layout>
        <c:manualLayout>
          <c:layoutTarget val="inner"/>
          <c:xMode val="edge"/>
          <c:yMode val="edge"/>
          <c:x val="8.1378963832351145E-2"/>
          <c:y val="0.15637819578108292"/>
          <c:w val="0.90493591013387475"/>
          <c:h val="0.54486220472440949"/>
        </c:manualLayout>
      </c:layout>
      <c:barChart>
        <c:barDir val="col"/>
        <c:grouping val="clustered"/>
        <c:varyColors val="0"/>
        <c:ser>
          <c:idx val="2"/>
          <c:order val="0"/>
          <c:tx>
            <c:v>Under REFERENCE Rates</c:v>
          </c:tx>
          <c:spPr>
            <a:pattFill prst="dkUpDiag">
              <a:fgClr>
                <a:schemeClr val="tx1">
                  <a:lumMod val="50000"/>
                  <a:lumOff val="50000"/>
                </a:schemeClr>
              </a:fgClr>
              <a:bgClr>
                <a:schemeClr val="bg1"/>
              </a:bgClr>
            </a:pattFill>
            <a:ln>
              <a:solidFill>
                <a:schemeClr val="tx1">
                  <a:lumMod val="50000"/>
                  <a:lumOff val="50000"/>
                </a:schemeClr>
              </a:solidFill>
            </a:ln>
          </c:spPr>
          <c:invertIfNegative val="0"/>
          <c:cat>
            <c:strRef>
              <c:f>'Revenues from COMPARATIVE Rates'!$C$104:$AC$104</c:f>
              <c:strCache>
                <c:ptCount val="27"/>
                <c:pt idx="0">
                  <c:v>0 </c:v>
                </c:pt>
                <c:pt idx="1">
                  <c:v>1 - 1000</c:v>
                </c:pt>
                <c:pt idx="2">
                  <c:v>1001 - 2000</c:v>
                </c:pt>
                <c:pt idx="3">
                  <c:v>2001 - 3000</c:v>
                </c:pt>
                <c:pt idx="4">
                  <c:v>3001 - 4000</c:v>
                </c:pt>
                <c:pt idx="5">
                  <c:v>4001 - 5000</c:v>
                </c:pt>
                <c:pt idx="6">
                  <c:v>5001 - 6000</c:v>
                </c:pt>
                <c:pt idx="7">
                  <c:v>6001 - 7000</c:v>
                </c:pt>
                <c:pt idx="8">
                  <c:v>7001 - 8000</c:v>
                </c:pt>
                <c:pt idx="9">
                  <c:v>8001 - 9000</c:v>
                </c:pt>
                <c:pt idx="10">
                  <c:v>9001 - 10000</c:v>
                </c:pt>
                <c:pt idx="11">
                  <c:v>10001 - 11000</c:v>
                </c:pt>
                <c:pt idx="12">
                  <c:v>11001 - 12000</c:v>
                </c:pt>
                <c:pt idx="13">
                  <c:v>12001 - 13000</c:v>
                </c:pt>
                <c:pt idx="14">
                  <c:v>13001 - 14000</c:v>
                </c:pt>
                <c:pt idx="15">
                  <c:v>14001 - 15000</c:v>
                </c:pt>
                <c:pt idx="16">
                  <c:v>15001 - 16000</c:v>
                </c:pt>
                <c:pt idx="17">
                  <c:v>16001 - 17000</c:v>
                </c:pt>
                <c:pt idx="18">
                  <c:v>17001 - 18000</c:v>
                </c:pt>
                <c:pt idx="19">
                  <c:v>18001 - 19000</c:v>
                </c:pt>
                <c:pt idx="20">
                  <c:v>19001 - 20000</c:v>
                </c:pt>
                <c:pt idx="21">
                  <c:v>20001 - 21000</c:v>
                </c:pt>
                <c:pt idx="22">
                  <c:v>21001 - 22000</c:v>
                </c:pt>
                <c:pt idx="23">
                  <c:v>22001 - 23000</c:v>
                </c:pt>
                <c:pt idx="24">
                  <c:v>23001 - 24000</c:v>
                </c:pt>
                <c:pt idx="25">
                  <c:v>24001 - 25000</c:v>
                </c:pt>
                <c:pt idx="26">
                  <c:v>&gt;25,000</c:v>
                </c:pt>
              </c:strCache>
            </c:strRef>
          </c:cat>
          <c:val>
            <c:numRef>
              <c:f>'Revenues from REFERENCE Rates'!$C$13:$AC$13</c:f>
              <c:numCache>
                <c:formatCode>#,##0</c:formatCode>
                <c:ptCount val="27"/>
                <c:pt idx="0">
                  <c:v>67031</c:v>
                </c:pt>
                <c:pt idx="1">
                  <c:v>83054</c:v>
                </c:pt>
                <c:pt idx="2">
                  <c:v>118438</c:v>
                </c:pt>
                <c:pt idx="3">
                  <c:v>120115</c:v>
                </c:pt>
                <c:pt idx="4">
                  <c:v>113142</c:v>
                </c:pt>
                <c:pt idx="5">
                  <c:v>86693</c:v>
                </c:pt>
                <c:pt idx="6">
                  <c:v>68013</c:v>
                </c:pt>
                <c:pt idx="7">
                  <c:v>45087</c:v>
                </c:pt>
                <c:pt idx="8">
                  <c:v>35919</c:v>
                </c:pt>
                <c:pt idx="9">
                  <c:v>22345</c:v>
                </c:pt>
                <c:pt idx="10">
                  <c:v>19870</c:v>
                </c:pt>
                <c:pt idx="11">
                  <c:v>11813</c:v>
                </c:pt>
                <c:pt idx="12">
                  <c:v>11811</c:v>
                </c:pt>
                <c:pt idx="13">
                  <c:v>7075</c:v>
                </c:pt>
                <c:pt idx="14">
                  <c:v>7533</c:v>
                </c:pt>
                <c:pt idx="15">
                  <c:v>4641</c:v>
                </c:pt>
                <c:pt idx="16">
                  <c:v>5223</c:v>
                </c:pt>
                <c:pt idx="17">
                  <c:v>3328</c:v>
                </c:pt>
                <c:pt idx="18">
                  <c:v>3865</c:v>
                </c:pt>
                <c:pt idx="19">
                  <c:v>2460</c:v>
                </c:pt>
                <c:pt idx="20">
                  <c:v>2956</c:v>
                </c:pt>
                <c:pt idx="21">
                  <c:v>2754</c:v>
                </c:pt>
                <c:pt idx="22">
                  <c:v>2653</c:v>
                </c:pt>
                <c:pt idx="23">
                  <c:v>2521</c:v>
                </c:pt>
                <c:pt idx="24">
                  <c:v>2321</c:v>
                </c:pt>
                <c:pt idx="25">
                  <c:v>1987</c:v>
                </c:pt>
                <c:pt idx="26">
                  <c:v>11754</c:v>
                </c:pt>
              </c:numCache>
            </c:numRef>
          </c:val>
        </c:ser>
        <c:ser>
          <c:idx val="0"/>
          <c:order val="1"/>
          <c:tx>
            <c:v>Under COMPARATIVE Rates</c:v>
          </c:tx>
          <c:spPr>
            <a:solidFill>
              <a:schemeClr val="accent1"/>
            </a:solidFill>
            <a:ln>
              <a:solidFill>
                <a:schemeClr val="tx2">
                  <a:lumMod val="40000"/>
                  <a:lumOff val="60000"/>
                </a:schemeClr>
              </a:solidFill>
            </a:ln>
          </c:spPr>
          <c:invertIfNegative val="0"/>
          <c:cat>
            <c:strRef>
              <c:f>'Revenues from COMPARATIVE Rates'!$C$104:$AC$104</c:f>
              <c:strCache>
                <c:ptCount val="27"/>
                <c:pt idx="0">
                  <c:v>0 </c:v>
                </c:pt>
                <c:pt idx="1">
                  <c:v>1 - 1000</c:v>
                </c:pt>
                <c:pt idx="2">
                  <c:v>1001 - 2000</c:v>
                </c:pt>
                <c:pt idx="3">
                  <c:v>2001 - 3000</c:v>
                </c:pt>
                <c:pt idx="4">
                  <c:v>3001 - 4000</c:v>
                </c:pt>
                <c:pt idx="5">
                  <c:v>4001 - 5000</c:v>
                </c:pt>
                <c:pt idx="6">
                  <c:v>5001 - 6000</c:v>
                </c:pt>
                <c:pt idx="7">
                  <c:v>6001 - 7000</c:v>
                </c:pt>
                <c:pt idx="8">
                  <c:v>7001 - 8000</c:v>
                </c:pt>
                <c:pt idx="9">
                  <c:v>8001 - 9000</c:v>
                </c:pt>
                <c:pt idx="10">
                  <c:v>9001 - 10000</c:v>
                </c:pt>
                <c:pt idx="11">
                  <c:v>10001 - 11000</c:v>
                </c:pt>
                <c:pt idx="12">
                  <c:v>11001 - 12000</c:v>
                </c:pt>
                <c:pt idx="13">
                  <c:v>12001 - 13000</c:v>
                </c:pt>
                <c:pt idx="14">
                  <c:v>13001 - 14000</c:v>
                </c:pt>
                <c:pt idx="15">
                  <c:v>14001 - 15000</c:v>
                </c:pt>
                <c:pt idx="16">
                  <c:v>15001 - 16000</c:v>
                </c:pt>
                <c:pt idx="17">
                  <c:v>16001 - 17000</c:v>
                </c:pt>
                <c:pt idx="18">
                  <c:v>17001 - 18000</c:v>
                </c:pt>
                <c:pt idx="19">
                  <c:v>18001 - 19000</c:v>
                </c:pt>
                <c:pt idx="20">
                  <c:v>19001 - 20000</c:v>
                </c:pt>
                <c:pt idx="21">
                  <c:v>20001 - 21000</c:v>
                </c:pt>
                <c:pt idx="22">
                  <c:v>21001 - 22000</c:v>
                </c:pt>
                <c:pt idx="23">
                  <c:v>22001 - 23000</c:v>
                </c:pt>
                <c:pt idx="24">
                  <c:v>23001 - 24000</c:v>
                </c:pt>
                <c:pt idx="25">
                  <c:v>24001 - 25000</c:v>
                </c:pt>
                <c:pt idx="26">
                  <c:v>&gt;25,000</c:v>
                </c:pt>
              </c:strCache>
            </c:strRef>
          </c:cat>
          <c:val>
            <c:numRef>
              <c:f>'Revenues from COMPARATIVE Rates'!$C$106:$AC$106</c:f>
              <c:numCache>
                <c:formatCode>#,##0</c:formatCode>
                <c:ptCount val="27"/>
                <c:pt idx="0" formatCode="#,##0_);\(#,##0\)">
                  <c:v>67031</c:v>
                </c:pt>
                <c:pt idx="1">
                  <c:v>83886</c:v>
                </c:pt>
                <c:pt idx="2">
                  <c:v>118817</c:v>
                </c:pt>
                <c:pt idx="3">
                  <c:v>120959</c:v>
                </c:pt>
                <c:pt idx="4">
                  <c:v>113449</c:v>
                </c:pt>
                <c:pt idx="5">
                  <c:v>86802</c:v>
                </c:pt>
                <c:pt idx="6">
                  <c:v>67590</c:v>
                </c:pt>
                <c:pt idx="7">
                  <c:v>44999</c:v>
                </c:pt>
                <c:pt idx="8">
                  <c:v>35404</c:v>
                </c:pt>
                <c:pt idx="9">
                  <c:v>22384</c:v>
                </c:pt>
                <c:pt idx="10">
                  <c:v>19377</c:v>
                </c:pt>
                <c:pt idx="11">
                  <c:v>11932</c:v>
                </c:pt>
                <c:pt idx="12">
                  <c:v>11438</c:v>
                </c:pt>
                <c:pt idx="13">
                  <c:v>7198</c:v>
                </c:pt>
                <c:pt idx="14">
                  <c:v>7246</c:v>
                </c:pt>
                <c:pt idx="15">
                  <c:v>4765</c:v>
                </c:pt>
                <c:pt idx="16">
                  <c:v>5004</c:v>
                </c:pt>
                <c:pt idx="17">
                  <c:v>3444</c:v>
                </c:pt>
                <c:pt idx="18">
                  <c:v>3674</c:v>
                </c:pt>
                <c:pt idx="19">
                  <c:v>2571</c:v>
                </c:pt>
                <c:pt idx="20">
                  <c:v>2949</c:v>
                </c:pt>
                <c:pt idx="21">
                  <c:v>2762</c:v>
                </c:pt>
                <c:pt idx="22">
                  <c:v>2653</c:v>
                </c:pt>
                <c:pt idx="23">
                  <c:v>2504</c:v>
                </c:pt>
                <c:pt idx="24">
                  <c:v>2269</c:v>
                </c:pt>
                <c:pt idx="25">
                  <c:v>1633</c:v>
                </c:pt>
                <c:pt idx="26">
                  <c:v>11663</c:v>
                </c:pt>
              </c:numCache>
            </c:numRef>
          </c:val>
        </c:ser>
        <c:ser>
          <c:idx val="1"/>
          <c:order val="2"/>
          <c:tx>
            <c:v>Before Rate Change (Last Year)</c:v>
          </c:tx>
          <c:spPr>
            <a:pattFill prst="dkUpDiag">
              <a:fgClr>
                <a:schemeClr val="tx1">
                  <a:lumMod val="65000"/>
                  <a:lumOff val="35000"/>
                </a:schemeClr>
              </a:fgClr>
              <a:bgClr>
                <a:schemeClr val="bg1"/>
              </a:bgClr>
            </a:pattFill>
          </c:spPr>
          <c:invertIfNegative val="0"/>
          <c:cat>
            <c:strRef>
              <c:f>'Revenues from COMPARATIVE Rates'!$C$104:$AC$104</c:f>
              <c:strCache>
                <c:ptCount val="27"/>
                <c:pt idx="0">
                  <c:v>0 </c:v>
                </c:pt>
                <c:pt idx="1">
                  <c:v>1 - 1000</c:v>
                </c:pt>
                <c:pt idx="2">
                  <c:v>1001 - 2000</c:v>
                </c:pt>
                <c:pt idx="3">
                  <c:v>2001 - 3000</c:v>
                </c:pt>
                <c:pt idx="4">
                  <c:v>3001 - 4000</c:v>
                </c:pt>
                <c:pt idx="5">
                  <c:v>4001 - 5000</c:v>
                </c:pt>
                <c:pt idx="6">
                  <c:v>5001 - 6000</c:v>
                </c:pt>
                <c:pt idx="7">
                  <c:v>6001 - 7000</c:v>
                </c:pt>
                <c:pt idx="8">
                  <c:v>7001 - 8000</c:v>
                </c:pt>
                <c:pt idx="9">
                  <c:v>8001 - 9000</c:v>
                </c:pt>
                <c:pt idx="10">
                  <c:v>9001 - 10000</c:v>
                </c:pt>
                <c:pt idx="11">
                  <c:v>10001 - 11000</c:v>
                </c:pt>
                <c:pt idx="12">
                  <c:v>11001 - 12000</c:v>
                </c:pt>
                <c:pt idx="13">
                  <c:v>12001 - 13000</c:v>
                </c:pt>
                <c:pt idx="14">
                  <c:v>13001 - 14000</c:v>
                </c:pt>
                <c:pt idx="15">
                  <c:v>14001 - 15000</c:v>
                </c:pt>
                <c:pt idx="16">
                  <c:v>15001 - 16000</c:v>
                </c:pt>
                <c:pt idx="17">
                  <c:v>16001 - 17000</c:v>
                </c:pt>
                <c:pt idx="18">
                  <c:v>17001 - 18000</c:v>
                </c:pt>
                <c:pt idx="19">
                  <c:v>18001 - 19000</c:v>
                </c:pt>
                <c:pt idx="20">
                  <c:v>19001 - 20000</c:v>
                </c:pt>
                <c:pt idx="21">
                  <c:v>20001 - 21000</c:v>
                </c:pt>
                <c:pt idx="22">
                  <c:v>21001 - 22000</c:v>
                </c:pt>
                <c:pt idx="23">
                  <c:v>22001 - 23000</c:v>
                </c:pt>
                <c:pt idx="24">
                  <c:v>23001 - 24000</c:v>
                </c:pt>
                <c:pt idx="25">
                  <c:v>24001 - 25000</c:v>
                </c:pt>
                <c:pt idx="26">
                  <c:v>&gt;25,000</c:v>
                </c:pt>
              </c:strCache>
            </c:strRef>
          </c:cat>
          <c:val>
            <c:numRef>
              <c:f>'Revenues from COMPARATIVE Rates'!$C$18:$AC$18</c:f>
            </c:numRef>
          </c:val>
        </c:ser>
        <c:dLbls>
          <c:showLegendKey val="0"/>
          <c:showVal val="0"/>
          <c:showCatName val="0"/>
          <c:showSerName val="0"/>
          <c:showPercent val="0"/>
          <c:showBubbleSize val="0"/>
        </c:dLbls>
        <c:gapWidth val="150"/>
        <c:axId val="153745280"/>
        <c:axId val="153882624"/>
      </c:barChart>
      <c:catAx>
        <c:axId val="153745280"/>
        <c:scaling>
          <c:orientation val="minMax"/>
        </c:scaling>
        <c:delete val="0"/>
        <c:axPos val="b"/>
        <c:title>
          <c:tx>
            <c:rich>
              <a:bodyPr/>
              <a:lstStyle/>
              <a:p>
                <a:pPr>
                  <a:defRPr sz="1600"/>
                </a:pPr>
                <a:r>
                  <a:rPr lang="en-US" sz="1600"/>
                  <a:t>gallons/month</a:t>
                </a:r>
              </a:p>
            </c:rich>
          </c:tx>
          <c:overlay val="0"/>
        </c:title>
        <c:numFmt formatCode="General" sourceLinked="1"/>
        <c:majorTickMark val="out"/>
        <c:minorTickMark val="none"/>
        <c:tickLblPos val="nextTo"/>
        <c:txPr>
          <a:bodyPr rot="-5400000" vert="horz"/>
          <a:lstStyle/>
          <a:p>
            <a:pPr>
              <a:defRPr sz="1100"/>
            </a:pPr>
            <a:endParaRPr lang="en-US"/>
          </a:p>
        </c:txPr>
        <c:crossAx val="153882624"/>
        <c:crosses val="autoZero"/>
        <c:auto val="1"/>
        <c:lblAlgn val="ctr"/>
        <c:lblOffset val="100"/>
        <c:noMultiLvlLbl val="0"/>
      </c:catAx>
      <c:valAx>
        <c:axId val="153882624"/>
        <c:scaling>
          <c:orientation val="minMax"/>
        </c:scaling>
        <c:delete val="0"/>
        <c:axPos val="l"/>
        <c:majorGridlines>
          <c:spPr>
            <a:ln>
              <a:solidFill>
                <a:schemeClr val="bg1">
                  <a:lumMod val="85000"/>
                </a:schemeClr>
              </a:solidFill>
            </a:ln>
          </c:spPr>
        </c:majorGridlines>
        <c:numFmt formatCode="#,##0" sourceLinked="1"/>
        <c:majorTickMark val="out"/>
        <c:minorTickMark val="none"/>
        <c:tickLblPos val="nextTo"/>
        <c:txPr>
          <a:bodyPr/>
          <a:lstStyle/>
          <a:p>
            <a:pPr>
              <a:defRPr sz="1200"/>
            </a:pPr>
            <a:endParaRPr lang="en-US"/>
          </a:p>
        </c:txPr>
        <c:crossAx val="153745280"/>
        <c:crosses val="autoZero"/>
        <c:crossBetween val="between"/>
      </c:valAx>
      <c:spPr>
        <a:solidFill>
          <a:schemeClr val="lt1"/>
        </a:solidFill>
        <a:ln w="25400" cap="flat" cmpd="sng" algn="ctr">
          <a:noFill/>
          <a:prstDash val="solid"/>
        </a:ln>
        <a:effectLst/>
      </c:spPr>
    </c:plotArea>
    <c:legend>
      <c:legendPos val="r"/>
      <c:layout>
        <c:manualLayout>
          <c:xMode val="edge"/>
          <c:yMode val="edge"/>
          <c:x val="0.46603381534855315"/>
          <c:y val="0.14728322154175172"/>
          <c:w val="0.51617247726109705"/>
          <c:h val="0.1255757874015748"/>
        </c:manualLayout>
      </c:layout>
      <c:overlay val="0"/>
      <c:txPr>
        <a:bodyPr/>
        <a:lstStyle/>
        <a:p>
          <a:pPr>
            <a:defRPr sz="1200"/>
          </a:pPr>
          <a:endParaRPr lang="en-US"/>
        </a:p>
      </c:txPr>
    </c:legend>
    <c:plotVisOnly val="1"/>
    <c:dispBlanksAs val="gap"/>
    <c:showDLblsOverMax val="0"/>
  </c:chart>
  <c:spPr>
    <a:solidFill>
      <a:schemeClr val="bg1">
        <a:lumMod val="95000"/>
      </a:schemeClr>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Percent of the Residential Monthly Bill that is from the Base Charge</a:t>
            </a:r>
          </a:p>
        </c:rich>
      </c:tx>
      <c:layout>
        <c:manualLayout>
          <c:xMode val="edge"/>
          <c:yMode val="edge"/>
          <c:x val="0.14999461605760822"/>
          <c:y val="2.777777777777779E-2"/>
        </c:manualLayout>
      </c:layout>
      <c:overlay val="0"/>
    </c:title>
    <c:autoTitleDeleted val="0"/>
    <c:plotArea>
      <c:layout>
        <c:manualLayout>
          <c:layoutTarget val="inner"/>
          <c:xMode val="edge"/>
          <c:yMode val="edge"/>
          <c:x val="9.0712362877717209E-2"/>
          <c:y val="0.20584208223972003"/>
          <c:w val="0.8601423379769837"/>
          <c:h val="0.58790217629046371"/>
        </c:manualLayout>
      </c:layout>
      <c:lineChart>
        <c:grouping val="standard"/>
        <c:varyColors val="0"/>
        <c:ser>
          <c:idx val="0"/>
          <c:order val="0"/>
          <c:tx>
            <c:v>COMPARATIVE Rates</c:v>
          </c:tx>
          <c:spPr>
            <a:ln>
              <a:prstDash val="solid"/>
            </a:ln>
          </c:spPr>
          <c:marker>
            <c:symbol val="none"/>
          </c:marker>
          <c:cat>
            <c:numRef>
              <c:f>'Input COMPARATIVE Rates'!$C$55:$C$80</c:f>
              <c:numCache>
                <c:formatCode>#,##0</c:formatCode>
                <c:ptCount val="26"/>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numCache>
            </c:numRef>
          </c:cat>
          <c:val>
            <c:numRef>
              <c:f>'Input COMPARATIVE Rates'!$G$55:$G$80</c:f>
              <c:numCache>
                <c:formatCode>0%</c:formatCode>
                <c:ptCount val="26"/>
                <c:pt idx="0">
                  <c:v>1</c:v>
                </c:pt>
                <c:pt idx="1">
                  <c:v>0.84210526315789469</c:v>
                </c:pt>
                <c:pt idx="2">
                  <c:v>0.72727272727272729</c:v>
                </c:pt>
                <c:pt idx="3">
                  <c:v>0.59259259259259256</c:v>
                </c:pt>
                <c:pt idx="4">
                  <c:v>0.5</c:v>
                </c:pt>
                <c:pt idx="5">
                  <c:v>0.43243243243243246</c:v>
                </c:pt>
                <c:pt idx="6">
                  <c:v>0.38095238095238093</c:v>
                </c:pt>
                <c:pt idx="7">
                  <c:v>0.34042553191489361</c:v>
                </c:pt>
                <c:pt idx="8">
                  <c:v>0.30769230769230771</c:v>
                </c:pt>
                <c:pt idx="9">
                  <c:v>0.2807017543859649</c:v>
                </c:pt>
                <c:pt idx="10">
                  <c:v>0.25806451612903225</c:v>
                </c:pt>
                <c:pt idx="11">
                  <c:v>0.23880597014925373</c:v>
                </c:pt>
                <c:pt idx="12">
                  <c:v>0.22222222222222221</c:v>
                </c:pt>
                <c:pt idx="13">
                  <c:v>0.20779220779220781</c:v>
                </c:pt>
                <c:pt idx="14">
                  <c:v>0.1951219512195122</c:v>
                </c:pt>
                <c:pt idx="15">
                  <c:v>0.18390804597701149</c:v>
                </c:pt>
                <c:pt idx="16">
                  <c:v>0.17391304347826086</c:v>
                </c:pt>
                <c:pt idx="17">
                  <c:v>0.16494845360824742</c:v>
                </c:pt>
                <c:pt idx="18">
                  <c:v>0.15686274509803921</c:v>
                </c:pt>
                <c:pt idx="19">
                  <c:v>0.14953271028037382</c:v>
                </c:pt>
                <c:pt idx="20">
                  <c:v>0.14285714285714285</c:v>
                </c:pt>
                <c:pt idx="21">
                  <c:v>0.13675213675213677</c:v>
                </c:pt>
                <c:pt idx="22">
                  <c:v>0.13114754098360656</c:v>
                </c:pt>
                <c:pt idx="23">
                  <c:v>0.12598425196850394</c:v>
                </c:pt>
                <c:pt idx="24">
                  <c:v>0.12121212121212122</c:v>
                </c:pt>
                <c:pt idx="25">
                  <c:v>0.11678832116788321</c:v>
                </c:pt>
              </c:numCache>
            </c:numRef>
          </c:val>
          <c:smooth val="0"/>
        </c:ser>
        <c:ser>
          <c:idx val="6"/>
          <c:order val="1"/>
          <c:tx>
            <c:v>REFERENCE Rates</c:v>
          </c:tx>
          <c:spPr>
            <a:ln w="28575">
              <a:solidFill>
                <a:schemeClr val="tx1">
                  <a:lumMod val="50000"/>
                  <a:lumOff val="50000"/>
                </a:schemeClr>
              </a:solidFill>
              <a:prstDash val="sysDash"/>
            </a:ln>
          </c:spPr>
          <c:marker>
            <c:symbol val="none"/>
          </c:marker>
          <c:cat>
            <c:numRef>
              <c:f>'Input COMPARATIVE Rates'!$C$55:$C$80</c:f>
              <c:numCache>
                <c:formatCode>#,##0</c:formatCode>
                <c:ptCount val="26"/>
                <c:pt idx="0">
                  <c:v>0</c:v>
                </c:pt>
                <c:pt idx="1">
                  <c:v>1000</c:v>
                </c:pt>
                <c:pt idx="2">
                  <c:v>2000</c:v>
                </c:pt>
                <c:pt idx="3">
                  <c:v>3000</c:v>
                </c:pt>
                <c:pt idx="4">
                  <c:v>4000</c:v>
                </c:pt>
                <c:pt idx="5">
                  <c:v>5000</c:v>
                </c:pt>
                <c:pt idx="6">
                  <c:v>6000</c:v>
                </c:pt>
                <c:pt idx="7">
                  <c:v>7000</c:v>
                </c:pt>
                <c:pt idx="8">
                  <c:v>8000</c:v>
                </c:pt>
                <c:pt idx="9">
                  <c:v>9000</c:v>
                </c:pt>
                <c:pt idx="10">
                  <c:v>10000</c:v>
                </c:pt>
                <c:pt idx="11">
                  <c:v>11000</c:v>
                </c:pt>
                <c:pt idx="12">
                  <c:v>12000</c:v>
                </c:pt>
                <c:pt idx="13">
                  <c:v>13000</c:v>
                </c:pt>
                <c:pt idx="14">
                  <c:v>14000</c:v>
                </c:pt>
                <c:pt idx="15">
                  <c:v>15000</c:v>
                </c:pt>
                <c:pt idx="16">
                  <c:v>16000</c:v>
                </c:pt>
                <c:pt idx="17">
                  <c:v>17000</c:v>
                </c:pt>
                <c:pt idx="18">
                  <c:v>18000</c:v>
                </c:pt>
                <c:pt idx="19">
                  <c:v>19000</c:v>
                </c:pt>
                <c:pt idx="20">
                  <c:v>20000</c:v>
                </c:pt>
                <c:pt idx="21">
                  <c:v>21000</c:v>
                </c:pt>
                <c:pt idx="22">
                  <c:v>22000</c:v>
                </c:pt>
                <c:pt idx="23">
                  <c:v>23000</c:v>
                </c:pt>
                <c:pt idx="24">
                  <c:v>24000</c:v>
                </c:pt>
                <c:pt idx="25">
                  <c:v>25000</c:v>
                </c:pt>
              </c:numCache>
            </c:numRef>
          </c:cat>
          <c:val>
            <c:numRef>
              <c:f>'Input REFERENCE Rates'!$G$57:$G$82</c:f>
              <c:numCache>
                <c:formatCode>0%</c:formatCode>
                <c:ptCount val="26"/>
                <c:pt idx="0">
                  <c:v>1</c:v>
                </c:pt>
                <c:pt idx="1">
                  <c:v>0.66666666666666663</c:v>
                </c:pt>
                <c:pt idx="2">
                  <c:v>0.5</c:v>
                </c:pt>
                <c:pt idx="3">
                  <c:v>0.4</c:v>
                </c:pt>
                <c:pt idx="4">
                  <c:v>0.33333333333333331</c:v>
                </c:pt>
                <c:pt idx="5">
                  <c:v>0.2857142857142857</c:v>
                </c:pt>
                <c:pt idx="6">
                  <c:v>0.25</c:v>
                </c:pt>
                <c:pt idx="7">
                  <c:v>0.22222222222222221</c:v>
                </c:pt>
                <c:pt idx="8">
                  <c:v>0.2</c:v>
                </c:pt>
                <c:pt idx="9">
                  <c:v>0.18181818181818182</c:v>
                </c:pt>
                <c:pt idx="10">
                  <c:v>0.16666666666666666</c:v>
                </c:pt>
                <c:pt idx="11">
                  <c:v>0.15384615384615385</c:v>
                </c:pt>
                <c:pt idx="12">
                  <c:v>0.14285714285714285</c:v>
                </c:pt>
                <c:pt idx="13">
                  <c:v>0.13333333333333333</c:v>
                </c:pt>
                <c:pt idx="14">
                  <c:v>0.125</c:v>
                </c:pt>
                <c:pt idx="15">
                  <c:v>0.11764705882352941</c:v>
                </c:pt>
                <c:pt idx="16">
                  <c:v>0.1111111111111111</c:v>
                </c:pt>
                <c:pt idx="17">
                  <c:v>0.10526315789473684</c:v>
                </c:pt>
                <c:pt idx="18">
                  <c:v>0.1</c:v>
                </c:pt>
                <c:pt idx="19">
                  <c:v>9.5238095238095233E-2</c:v>
                </c:pt>
                <c:pt idx="20">
                  <c:v>9.0909090909090912E-2</c:v>
                </c:pt>
                <c:pt idx="21">
                  <c:v>8.6956521739130432E-2</c:v>
                </c:pt>
                <c:pt idx="22">
                  <c:v>8.3333333333333329E-2</c:v>
                </c:pt>
                <c:pt idx="23">
                  <c:v>0.08</c:v>
                </c:pt>
                <c:pt idx="24">
                  <c:v>7.6923076923076927E-2</c:v>
                </c:pt>
                <c:pt idx="25">
                  <c:v>7.407407407407407E-2</c:v>
                </c:pt>
              </c:numCache>
            </c:numRef>
          </c:val>
          <c:smooth val="0"/>
        </c:ser>
        <c:dLbls>
          <c:showLegendKey val="0"/>
          <c:showVal val="0"/>
          <c:showCatName val="0"/>
          <c:showSerName val="0"/>
          <c:showPercent val="0"/>
          <c:showBubbleSize val="0"/>
        </c:dLbls>
        <c:marker val="1"/>
        <c:smooth val="0"/>
        <c:axId val="154628864"/>
        <c:axId val="154630784"/>
      </c:lineChart>
      <c:catAx>
        <c:axId val="154628864"/>
        <c:scaling>
          <c:orientation val="minMax"/>
        </c:scaling>
        <c:delete val="0"/>
        <c:axPos val="b"/>
        <c:majorGridlines>
          <c:spPr>
            <a:ln>
              <a:solidFill>
                <a:schemeClr val="bg1">
                  <a:lumMod val="85000"/>
                </a:schemeClr>
              </a:solidFill>
            </a:ln>
          </c:spPr>
        </c:majorGridlines>
        <c:title>
          <c:tx>
            <c:rich>
              <a:bodyPr/>
              <a:lstStyle/>
              <a:p>
                <a:pPr>
                  <a:defRPr sz="1400"/>
                </a:pPr>
                <a:r>
                  <a:rPr lang="en-US" sz="1400"/>
                  <a:t>gallons/month</a:t>
                </a:r>
              </a:p>
            </c:rich>
          </c:tx>
          <c:layout>
            <c:manualLayout>
              <c:xMode val="edge"/>
              <c:yMode val="edge"/>
              <c:x val="0.42289588801399824"/>
              <c:y val="0.92076388888888894"/>
            </c:manualLayout>
          </c:layout>
          <c:overlay val="0"/>
        </c:title>
        <c:numFmt formatCode="General" sourceLinked="0"/>
        <c:majorTickMark val="out"/>
        <c:minorTickMark val="none"/>
        <c:tickLblPos val="nextTo"/>
        <c:txPr>
          <a:bodyPr/>
          <a:lstStyle/>
          <a:p>
            <a:pPr>
              <a:defRPr sz="1100"/>
            </a:pPr>
            <a:endParaRPr lang="en-US"/>
          </a:p>
        </c:txPr>
        <c:crossAx val="154630784"/>
        <c:crosses val="autoZero"/>
        <c:auto val="0"/>
        <c:lblAlgn val="ctr"/>
        <c:lblOffset val="100"/>
        <c:tickLblSkip val="1"/>
        <c:noMultiLvlLbl val="0"/>
      </c:catAx>
      <c:valAx>
        <c:axId val="154630784"/>
        <c:scaling>
          <c:orientation val="minMax"/>
          <c:max val="1"/>
          <c:min val="0"/>
        </c:scaling>
        <c:delete val="0"/>
        <c:axPos val="l"/>
        <c:majorGridlines>
          <c:spPr>
            <a:ln>
              <a:solidFill>
                <a:schemeClr val="bg1">
                  <a:lumMod val="85000"/>
                </a:schemeClr>
              </a:solidFill>
            </a:ln>
            <a:effectLst/>
          </c:spPr>
        </c:majorGridlines>
        <c:numFmt formatCode="0%" sourceLinked="0"/>
        <c:majorTickMark val="out"/>
        <c:minorTickMark val="none"/>
        <c:tickLblPos val="nextTo"/>
        <c:txPr>
          <a:bodyPr/>
          <a:lstStyle/>
          <a:p>
            <a:pPr>
              <a:defRPr sz="1200"/>
            </a:pPr>
            <a:endParaRPr lang="en-US"/>
          </a:p>
        </c:txPr>
        <c:crossAx val="154628864"/>
        <c:crosses val="autoZero"/>
        <c:crossBetween val="midCat"/>
        <c:majorUnit val="0.1"/>
        <c:minorUnit val="0.05"/>
      </c:valAx>
    </c:plotArea>
    <c:legend>
      <c:legendPos val="r"/>
      <c:layout>
        <c:manualLayout>
          <c:xMode val="edge"/>
          <c:yMode val="edge"/>
          <c:x val="0.56750632907593246"/>
          <c:y val="0.22051071741032371"/>
          <c:w val="0.38975852718238696"/>
          <c:h val="0.1880757874015748"/>
        </c:manualLayout>
      </c:layout>
      <c:overlay val="0"/>
      <c:txPr>
        <a:bodyPr/>
        <a:lstStyle/>
        <a:p>
          <a:pPr>
            <a:defRPr sz="1200"/>
          </a:pPr>
          <a:endParaRPr lang="en-US"/>
        </a:p>
      </c:txPr>
    </c:legend>
    <c:plotVisOnly val="1"/>
    <c:dispBlanksAs val="zero"/>
    <c:showDLblsOverMax val="0"/>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133" l="0.70000000000000095" r="0.70000000000000095" t="0.750000000000001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Total Annual Residential Revenues</a:t>
            </a:r>
          </a:p>
        </c:rich>
      </c:tx>
      <c:layout>
        <c:manualLayout>
          <c:xMode val="edge"/>
          <c:yMode val="edge"/>
          <c:x val="0.25676185662507373"/>
          <c:y val="2.0356234096692113E-2"/>
        </c:manualLayout>
      </c:layout>
      <c:overlay val="0"/>
    </c:title>
    <c:autoTitleDeleted val="0"/>
    <c:plotArea>
      <c:layout>
        <c:manualLayout>
          <c:layoutTarget val="inner"/>
          <c:xMode val="edge"/>
          <c:yMode val="edge"/>
          <c:x val="0.22224630254100064"/>
          <c:y val="0.12312235779687844"/>
          <c:w val="0.73474545655315771"/>
          <c:h val="0.69471593394575681"/>
        </c:manualLayout>
      </c:layout>
      <c:barChart>
        <c:barDir val="col"/>
        <c:grouping val="stacked"/>
        <c:varyColors val="0"/>
        <c:ser>
          <c:idx val="0"/>
          <c:order val="0"/>
          <c:tx>
            <c:v>Base Charges</c:v>
          </c:tx>
          <c:spPr>
            <a:solidFill>
              <a:schemeClr val="tx2"/>
            </a:solidFill>
          </c:spPr>
          <c:invertIfNegative val="0"/>
          <c:dPt>
            <c:idx val="0"/>
            <c:invertIfNegative val="0"/>
            <c:bubble3D val="0"/>
            <c:spPr>
              <a:solidFill>
                <a:schemeClr val="tx1">
                  <a:lumMod val="75000"/>
                  <a:lumOff val="25000"/>
                </a:schemeClr>
              </a:solidFill>
            </c:spPr>
          </c:dPt>
          <c:dPt>
            <c:idx val="1"/>
            <c:invertIfNegative val="0"/>
            <c:bubble3D val="0"/>
            <c:spPr>
              <a:solidFill>
                <a:schemeClr val="accent1"/>
              </a:solidFill>
            </c:spPr>
          </c:dPt>
          <c:dLbls>
            <c:txPr>
              <a:bodyPr/>
              <a:lstStyle/>
              <a:p>
                <a:pPr>
                  <a:defRPr>
                    <a:solidFill>
                      <a:schemeClr val="bg1"/>
                    </a:solidFill>
                  </a:defRPr>
                </a:pPr>
                <a:endParaRPr lang="en-US"/>
              </a:p>
            </c:txPr>
            <c:showLegendKey val="0"/>
            <c:showVal val="1"/>
            <c:showCatName val="0"/>
            <c:showSerName val="1"/>
            <c:showPercent val="0"/>
            <c:showBubbleSize val="0"/>
            <c:showLeaderLines val="0"/>
          </c:dLbls>
          <c:cat>
            <c:strRef>
              <c:f>'Compare - only changing rates'!$L$17:$M$17</c:f>
              <c:strCache>
                <c:ptCount val="2"/>
                <c:pt idx="0">
                  <c:v>REFERENCE Rates
 (28% base charges)</c:v>
                </c:pt>
                <c:pt idx="1">
                  <c:v>COMPARATIVE Rates
 (42% base charges)</c:v>
                </c:pt>
              </c:strCache>
            </c:strRef>
          </c:cat>
          <c:val>
            <c:numRef>
              <c:f>'Compare - only changing rates'!$L$13:$M$13</c:f>
              <c:numCache>
                <c:formatCode>"$"#,##0</c:formatCode>
                <c:ptCount val="2"/>
                <c:pt idx="0">
                  <c:v>4322000</c:v>
                </c:pt>
                <c:pt idx="1">
                  <c:v>6915000</c:v>
                </c:pt>
              </c:numCache>
            </c:numRef>
          </c:val>
        </c:ser>
        <c:ser>
          <c:idx val="1"/>
          <c:order val="1"/>
          <c:tx>
            <c:v>Volumetric Charges</c:v>
          </c:tx>
          <c:spPr>
            <a:solidFill>
              <a:schemeClr val="bg1">
                <a:lumMod val="65000"/>
              </a:schemeClr>
            </a:solidFill>
          </c:spPr>
          <c:invertIfNegative val="0"/>
          <c:dPt>
            <c:idx val="1"/>
            <c:invertIfNegative val="0"/>
            <c:bubble3D val="0"/>
            <c:spPr>
              <a:solidFill>
                <a:schemeClr val="tx2">
                  <a:lumMod val="20000"/>
                  <a:lumOff val="80000"/>
                </a:schemeClr>
              </a:solidFill>
            </c:spPr>
          </c:dPt>
          <c:dLbls>
            <c:showLegendKey val="0"/>
            <c:showVal val="1"/>
            <c:showCatName val="0"/>
            <c:showSerName val="1"/>
            <c:showPercent val="0"/>
            <c:showBubbleSize val="0"/>
            <c:showLeaderLines val="0"/>
          </c:dLbls>
          <c:cat>
            <c:strRef>
              <c:f>'Compare - only changing rates'!$L$17:$M$17</c:f>
              <c:strCache>
                <c:ptCount val="2"/>
                <c:pt idx="0">
                  <c:v>REFERENCE Rates
 (28% base charges)</c:v>
                </c:pt>
                <c:pt idx="1">
                  <c:v>COMPARATIVE Rates
 (42% base charges)</c:v>
                </c:pt>
              </c:strCache>
            </c:strRef>
          </c:cat>
          <c:val>
            <c:numRef>
              <c:f>'Compare - only changing rates'!$L$14:$M$14</c:f>
              <c:numCache>
                <c:formatCode>"$"#,##0</c:formatCode>
                <c:ptCount val="2"/>
                <c:pt idx="0">
                  <c:v>11086000</c:v>
                </c:pt>
                <c:pt idx="1">
                  <c:v>9504000</c:v>
                </c:pt>
              </c:numCache>
            </c:numRef>
          </c:val>
        </c:ser>
        <c:dLbls>
          <c:showLegendKey val="0"/>
          <c:showVal val="0"/>
          <c:showCatName val="0"/>
          <c:showSerName val="0"/>
          <c:showPercent val="0"/>
          <c:showBubbleSize val="0"/>
        </c:dLbls>
        <c:gapWidth val="87"/>
        <c:overlap val="100"/>
        <c:axId val="154535424"/>
        <c:axId val="154536960"/>
      </c:barChart>
      <c:catAx>
        <c:axId val="154535424"/>
        <c:scaling>
          <c:orientation val="minMax"/>
        </c:scaling>
        <c:delete val="0"/>
        <c:axPos val="b"/>
        <c:numFmt formatCode="General" sourceLinked="0"/>
        <c:majorTickMark val="out"/>
        <c:minorTickMark val="none"/>
        <c:tickLblPos val="nextTo"/>
        <c:txPr>
          <a:bodyPr/>
          <a:lstStyle/>
          <a:p>
            <a:pPr>
              <a:defRPr sz="1200"/>
            </a:pPr>
            <a:endParaRPr lang="en-US"/>
          </a:p>
        </c:txPr>
        <c:crossAx val="154536960"/>
        <c:crosses val="autoZero"/>
        <c:auto val="0"/>
        <c:lblAlgn val="ctr"/>
        <c:lblOffset val="100"/>
        <c:noMultiLvlLbl val="0"/>
      </c:catAx>
      <c:valAx>
        <c:axId val="154536960"/>
        <c:scaling>
          <c:orientation val="minMax"/>
          <c:min val="0"/>
        </c:scaling>
        <c:delete val="0"/>
        <c:axPos val="l"/>
        <c:majorGridlines>
          <c:spPr>
            <a:ln w="12700">
              <a:solidFill>
                <a:schemeClr val="bg1">
                  <a:lumMod val="85000"/>
                </a:schemeClr>
              </a:solidFill>
              <a:prstDash val="solid"/>
            </a:ln>
            <a:effectLst/>
          </c:spPr>
        </c:majorGridlines>
        <c:numFmt formatCode="&quot;$&quot;#,##0" sourceLinked="0"/>
        <c:majorTickMark val="out"/>
        <c:minorTickMark val="none"/>
        <c:tickLblPos val="nextTo"/>
        <c:txPr>
          <a:bodyPr/>
          <a:lstStyle/>
          <a:p>
            <a:pPr>
              <a:defRPr sz="1200"/>
            </a:pPr>
            <a:endParaRPr lang="en-US"/>
          </a:p>
        </c:txPr>
        <c:crossAx val="154535424"/>
        <c:crosses val="autoZero"/>
        <c:crossBetween val="between"/>
      </c:valAx>
    </c:plotArea>
    <c:plotVisOnly val="1"/>
    <c:dispBlanksAs val="zero"/>
    <c:showDLblsOverMax val="0"/>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133" l="0.70000000000000095" r="0.70000000000000095" t="0.750000000000001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Portions of Annual Revenues under COMPARATIVE Rates that are Vulnerable to Declines/Gains Due to Normal Weather Fluctuations</a:t>
            </a:r>
          </a:p>
        </c:rich>
      </c:tx>
      <c:layout>
        <c:manualLayout>
          <c:xMode val="edge"/>
          <c:yMode val="edge"/>
          <c:x val="0.12837068443367652"/>
          <c:y val="0"/>
        </c:manualLayout>
      </c:layout>
      <c:overlay val="0"/>
    </c:title>
    <c:autoTitleDeleted val="0"/>
    <c:plotArea>
      <c:layout>
        <c:manualLayout>
          <c:layoutTarget val="inner"/>
          <c:xMode val="edge"/>
          <c:yMode val="edge"/>
          <c:x val="0.21393998702748362"/>
          <c:y val="0.20207540463692039"/>
          <c:w val="0.37631535282227652"/>
          <c:h val="0.71185841927239413"/>
        </c:manualLayout>
      </c:layout>
      <c:barChart>
        <c:barDir val="col"/>
        <c:grouping val="stacked"/>
        <c:varyColors val="0"/>
        <c:ser>
          <c:idx val="2"/>
          <c:order val="0"/>
          <c:tx>
            <c:strRef>
              <c:f>'Normal Weather Change'!$B$389</c:f>
              <c:strCache>
                <c:ptCount val="1"/>
                <c:pt idx="0">
                  <c:v>Estimated maximum potential LOSS from fluctuating weather patterns</c:v>
                </c:pt>
              </c:strCache>
            </c:strRef>
          </c:tx>
          <c:spPr>
            <a:pattFill prst="wdUpDiag">
              <a:fgClr>
                <a:schemeClr val="accent2"/>
              </a:fgClr>
              <a:bgClr>
                <a:schemeClr val="bg1"/>
              </a:bgClr>
            </a:pattFill>
            <a:ln>
              <a:solidFill>
                <a:schemeClr val="accent2"/>
              </a:solidFill>
            </a:ln>
          </c:spPr>
          <c:invertIfNegative val="0"/>
          <c:cat>
            <c:strLit>
              <c:ptCount val="1"/>
              <c:pt idx="0">
                <c:v>COMPARATIVE Rates</c:v>
              </c:pt>
            </c:strLit>
          </c:cat>
          <c:val>
            <c:numRef>
              <c:f>'Normal Weather Change'!$C$389</c:f>
              <c:numCache>
                <c:formatCode>"$"#,##0</c:formatCode>
                <c:ptCount val="1"/>
                <c:pt idx="0">
                  <c:v>2133000</c:v>
                </c:pt>
              </c:numCache>
            </c:numRef>
          </c:val>
        </c:ser>
        <c:ser>
          <c:idx val="3"/>
          <c:order val="1"/>
          <c:tx>
            <c:strRef>
              <c:f>'Normal Weather Change'!$B$390</c:f>
              <c:strCache>
                <c:ptCount val="1"/>
                <c:pt idx="0">
                  <c:v>Total annual revenues under COMPARATIVE rates, accounting for price elasticity effects, with no change to weather since reference year</c:v>
                </c:pt>
              </c:strCache>
            </c:strRef>
          </c:tx>
          <c:spPr>
            <a:solidFill>
              <a:schemeClr val="accent1"/>
            </a:solidFill>
          </c:spPr>
          <c:invertIfNegative val="0"/>
          <c:cat>
            <c:strLit>
              <c:ptCount val="1"/>
              <c:pt idx="0">
                <c:v>COMPARATIVE Rates</c:v>
              </c:pt>
            </c:strLit>
          </c:cat>
          <c:val>
            <c:numRef>
              <c:f>'Normal Weather Change'!$C$390</c:f>
              <c:numCache>
                <c:formatCode>"$"#,##0</c:formatCode>
                <c:ptCount val="1"/>
                <c:pt idx="0">
                  <c:v>14286000</c:v>
                </c:pt>
              </c:numCache>
            </c:numRef>
          </c:val>
        </c:ser>
        <c:ser>
          <c:idx val="4"/>
          <c:order val="2"/>
          <c:tx>
            <c:strRef>
              <c:f>'Normal Weather Change'!$B$386</c:f>
              <c:strCache>
                <c:ptCount val="1"/>
                <c:pt idx="0">
                  <c:v>Estimated maximum potential GAIN from fluctuating weather patterns</c:v>
                </c:pt>
              </c:strCache>
            </c:strRef>
          </c:tx>
          <c:spPr>
            <a:solidFill>
              <a:schemeClr val="accent3"/>
            </a:solidFill>
          </c:spPr>
          <c:invertIfNegative val="0"/>
          <c:cat>
            <c:strLit>
              <c:ptCount val="1"/>
              <c:pt idx="0">
                <c:v>COMPARATIVE Rates</c:v>
              </c:pt>
            </c:strLit>
          </c:cat>
          <c:val>
            <c:numRef>
              <c:f>'Normal Weather Change'!$C$386</c:f>
              <c:numCache>
                <c:formatCode>"$"#,##0</c:formatCode>
                <c:ptCount val="1"/>
                <c:pt idx="0">
                  <c:v>2059000</c:v>
                </c:pt>
              </c:numCache>
            </c:numRef>
          </c:val>
        </c:ser>
        <c:dLbls>
          <c:showLegendKey val="0"/>
          <c:showVal val="0"/>
          <c:showCatName val="0"/>
          <c:showSerName val="0"/>
          <c:showPercent val="0"/>
          <c:showBubbleSize val="0"/>
        </c:dLbls>
        <c:gapWidth val="75"/>
        <c:overlap val="100"/>
        <c:axId val="155509504"/>
        <c:axId val="155511040"/>
      </c:barChart>
      <c:catAx>
        <c:axId val="155509504"/>
        <c:scaling>
          <c:orientation val="minMax"/>
        </c:scaling>
        <c:delete val="0"/>
        <c:axPos val="b"/>
        <c:numFmt formatCode="General" sourceLinked="0"/>
        <c:majorTickMark val="out"/>
        <c:minorTickMark val="none"/>
        <c:tickLblPos val="nextTo"/>
        <c:txPr>
          <a:bodyPr/>
          <a:lstStyle/>
          <a:p>
            <a:pPr>
              <a:defRPr sz="1200"/>
            </a:pPr>
            <a:endParaRPr lang="en-US"/>
          </a:p>
        </c:txPr>
        <c:crossAx val="155511040"/>
        <c:crosses val="autoZero"/>
        <c:auto val="0"/>
        <c:lblAlgn val="ctr"/>
        <c:lblOffset val="100"/>
        <c:noMultiLvlLbl val="0"/>
      </c:catAx>
      <c:valAx>
        <c:axId val="155511040"/>
        <c:scaling>
          <c:orientation val="minMax"/>
          <c:min val="0"/>
        </c:scaling>
        <c:delete val="0"/>
        <c:axPos val="l"/>
        <c:majorGridlines>
          <c:spPr>
            <a:ln w="12700">
              <a:solidFill>
                <a:schemeClr val="bg1">
                  <a:lumMod val="85000"/>
                </a:schemeClr>
              </a:solidFill>
              <a:prstDash val="solid"/>
            </a:ln>
            <a:effectLst/>
          </c:spPr>
        </c:majorGridlines>
        <c:numFmt formatCode="&quot;$&quot;#,##0" sourceLinked="0"/>
        <c:majorTickMark val="out"/>
        <c:minorTickMark val="none"/>
        <c:tickLblPos val="nextTo"/>
        <c:txPr>
          <a:bodyPr/>
          <a:lstStyle/>
          <a:p>
            <a:pPr>
              <a:defRPr sz="1200"/>
            </a:pPr>
            <a:endParaRPr lang="en-US"/>
          </a:p>
        </c:txPr>
        <c:crossAx val="155509504"/>
        <c:crosses val="autoZero"/>
        <c:crossBetween val="between"/>
      </c:valAx>
    </c:plotArea>
    <c:legend>
      <c:legendPos val="r"/>
      <c:layout>
        <c:manualLayout>
          <c:xMode val="edge"/>
          <c:yMode val="edge"/>
          <c:x val="0.59888055480133939"/>
          <c:y val="0.19015611329833768"/>
          <c:w val="0.4011194451986605"/>
          <c:h val="0.79251284995625548"/>
        </c:manualLayout>
      </c:layout>
      <c:overlay val="1"/>
      <c:txPr>
        <a:bodyPr/>
        <a:lstStyle/>
        <a:p>
          <a:pPr>
            <a:defRPr sz="1200"/>
          </a:pPr>
          <a:endParaRPr lang="en-US"/>
        </a:p>
      </c:txPr>
    </c:legend>
    <c:plotVisOnly val="1"/>
    <c:dispBlanksAs val="zero"/>
    <c:showDLblsOverMax val="0"/>
  </c:chart>
  <c:spPr>
    <a:solidFill>
      <a:schemeClr val="bg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122" l="0.70000000000000095" r="0.70000000000000095" t="0.750000000000001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Range of Projected Revenues Under COMPARATIVE Rates</a:t>
            </a:r>
            <a:r>
              <a:rPr lang="en-US" sz="1400" baseline="0"/>
              <a:t> and Full Spectrum of Normal Weather Patterns that May Influence Water Use Levels</a:t>
            </a:r>
            <a:endParaRPr lang="en-US" sz="1400"/>
          </a:p>
        </c:rich>
      </c:tx>
      <c:overlay val="0"/>
    </c:title>
    <c:autoTitleDeleted val="0"/>
    <c:plotArea>
      <c:layout>
        <c:manualLayout>
          <c:layoutTarget val="inner"/>
          <c:xMode val="edge"/>
          <c:yMode val="edge"/>
          <c:x val="0.215076664707299"/>
          <c:y val="0.25175360892388449"/>
          <c:w val="0.37082599280335027"/>
          <c:h val="0.70227744969378825"/>
        </c:manualLayout>
      </c:layout>
      <c:barChart>
        <c:barDir val="col"/>
        <c:grouping val="stacked"/>
        <c:varyColors val="0"/>
        <c:ser>
          <c:idx val="0"/>
          <c:order val="2"/>
          <c:invertIfNegative val="0"/>
          <c:dPt>
            <c:idx val="0"/>
            <c:invertIfNegative val="0"/>
            <c:bubble3D val="0"/>
            <c:spPr>
              <a:noFill/>
              <a:ln>
                <a:noFill/>
              </a:ln>
            </c:spPr>
          </c:dPt>
          <c:cat>
            <c:strLit>
              <c:ptCount val="1"/>
              <c:pt idx="0">
                <c:v>COMPARATIVE Rates</c:v>
              </c:pt>
            </c:strLit>
          </c:cat>
          <c:val>
            <c:numRef>
              <c:f>'Normal Weather Change'!$C$375</c:f>
              <c:numCache>
                <c:formatCode>"$"#,##0</c:formatCode>
                <c:ptCount val="1"/>
                <c:pt idx="0">
                  <c:v>14286000</c:v>
                </c:pt>
              </c:numCache>
            </c:numRef>
          </c:val>
        </c:ser>
        <c:ser>
          <c:idx val="1"/>
          <c:order val="3"/>
          <c:tx>
            <c:v>Full range of revenues under COMPARATIVE rates and within the full spectrum of weather patterns that may influence water use levels</c:v>
          </c:tx>
          <c:spPr>
            <a:solidFill>
              <a:schemeClr val="accent2">
                <a:lumMod val="60000"/>
                <a:lumOff val="40000"/>
              </a:schemeClr>
            </a:solidFill>
          </c:spPr>
          <c:invertIfNegative val="0"/>
          <c:cat>
            <c:strLit>
              <c:ptCount val="1"/>
              <c:pt idx="0">
                <c:v>COMPARATIVE Rates</c:v>
              </c:pt>
            </c:strLit>
          </c:cat>
          <c:val>
            <c:numRef>
              <c:f>'Normal Weather Change'!$C$376</c:f>
              <c:numCache>
                <c:formatCode>"$"#,##0</c:formatCode>
                <c:ptCount val="1"/>
                <c:pt idx="0">
                  <c:v>4192000</c:v>
                </c:pt>
              </c:numCache>
            </c:numRef>
          </c:val>
        </c:ser>
        <c:dLbls>
          <c:showLegendKey val="0"/>
          <c:showVal val="0"/>
          <c:showCatName val="0"/>
          <c:showSerName val="0"/>
          <c:showPercent val="0"/>
          <c:showBubbleSize val="0"/>
        </c:dLbls>
        <c:gapWidth val="150"/>
        <c:overlap val="100"/>
        <c:axId val="155616384"/>
        <c:axId val="155618304"/>
      </c:barChart>
      <c:lineChart>
        <c:grouping val="standard"/>
        <c:varyColors val="0"/>
        <c:ser>
          <c:idx val="3"/>
          <c:order val="0"/>
          <c:tx>
            <c:v>Under COMPARATIVE rates and weather patterns of the reference year</c:v>
          </c:tx>
          <c:spPr>
            <a:ln w="28575">
              <a:noFill/>
            </a:ln>
          </c:spPr>
          <c:marker>
            <c:symbol val="circle"/>
            <c:size val="6"/>
            <c:spPr>
              <a:solidFill>
                <a:schemeClr val="tx2"/>
              </a:solidFill>
              <a:ln>
                <a:noFill/>
              </a:ln>
            </c:spPr>
          </c:marker>
          <c:val>
            <c:numRef>
              <c:f>'Compare - Normal Weather Change'!$N$22</c:f>
              <c:numCache>
                <c:formatCode>"$"#,##0</c:formatCode>
                <c:ptCount val="1"/>
                <c:pt idx="0">
                  <c:v>16419000</c:v>
                </c:pt>
              </c:numCache>
            </c:numRef>
          </c:val>
          <c:smooth val="0"/>
        </c:ser>
        <c:ser>
          <c:idx val="2"/>
          <c:order val="1"/>
          <c:tx>
            <c:strRef>
              <c:f>'Normal Weather Change'!$C$371</c:f>
              <c:strCache>
                <c:ptCount val="1"/>
                <c:pt idx="0">
                  <c:v>Under REFERENCE rates and weather patterns of the reference year</c:v>
                </c:pt>
              </c:strCache>
            </c:strRef>
          </c:tx>
          <c:spPr>
            <a:ln>
              <a:noFill/>
            </a:ln>
          </c:spPr>
          <c:marker>
            <c:symbol val="x"/>
            <c:size val="7"/>
            <c:spPr>
              <a:noFill/>
              <a:ln>
                <a:solidFill>
                  <a:schemeClr val="tx1">
                    <a:lumMod val="75000"/>
                    <a:lumOff val="25000"/>
                  </a:schemeClr>
                </a:solidFill>
              </a:ln>
            </c:spPr>
          </c:marker>
          <c:dPt>
            <c:idx val="0"/>
            <c:marker>
              <c:symbol val="x"/>
              <c:size val="6"/>
            </c:marker>
            <c:bubble3D val="0"/>
          </c:dPt>
          <c:cat>
            <c:strLit>
              <c:ptCount val="1"/>
              <c:pt idx="0">
                <c:v>Comparative Rates</c:v>
              </c:pt>
            </c:strLit>
          </c:cat>
          <c:val>
            <c:numRef>
              <c:f>'Compare - only changing rates'!$L$11</c:f>
              <c:numCache>
                <c:formatCode>"$"#,##0</c:formatCode>
                <c:ptCount val="1"/>
                <c:pt idx="0">
                  <c:v>15408000</c:v>
                </c:pt>
              </c:numCache>
            </c:numRef>
          </c:val>
          <c:smooth val="0"/>
        </c:ser>
        <c:dLbls>
          <c:showLegendKey val="0"/>
          <c:showVal val="0"/>
          <c:showCatName val="0"/>
          <c:showSerName val="0"/>
          <c:showPercent val="0"/>
          <c:showBubbleSize val="0"/>
        </c:dLbls>
        <c:marker val="1"/>
        <c:smooth val="0"/>
        <c:axId val="155616384"/>
        <c:axId val="155618304"/>
      </c:lineChart>
      <c:catAx>
        <c:axId val="155616384"/>
        <c:scaling>
          <c:orientation val="minMax"/>
        </c:scaling>
        <c:delete val="1"/>
        <c:axPos val="b"/>
        <c:numFmt formatCode="General" sourceLinked="0"/>
        <c:majorTickMark val="out"/>
        <c:minorTickMark val="none"/>
        <c:tickLblPos val="nextTo"/>
        <c:crossAx val="155618304"/>
        <c:crosses val="autoZero"/>
        <c:auto val="0"/>
        <c:lblAlgn val="ctr"/>
        <c:lblOffset val="100"/>
        <c:noMultiLvlLbl val="0"/>
      </c:catAx>
      <c:valAx>
        <c:axId val="155618304"/>
        <c:scaling>
          <c:orientation val="minMax"/>
          <c:min val="0"/>
        </c:scaling>
        <c:delete val="0"/>
        <c:axPos val="l"/>
        <c:majorGridlines>
          <c:spPr>
            <a:ln w="12700">
              <a:solidFill>
                <a:schemeClr val="bg1">
                  <a:lumMod val="85000"/>
                </a:schemeClr>
              </a:solidFill>
              <a:prstDash val="solid"/>
            </a:ln>
            <a:effectLst/>
          </c:spPr>
        </c:majorGridlines>
        <c:numFmt formatCode="&quot;$&quot;#,##0" sourceLinked="0"/>
        <c:majorTickMark val="out"/>
        <c:minorTickMark val="none"/>
        <c:tickLblPos val="nextTo"/>
        <c:txPr>
          <a:bodyPr/>
          <a:lstStyle/>
          <a:p>
            <a:pPr>
              <a:defRPr sz="1200"/>
            </a:pPr>
            <a:endParaRPr lang="en-US"/>
          </a:p>
        </c:txPr>
        <c:crossAx val="155616384"/>
        <c:crosses val="autoZero"/>
        <c:crossBetween val="between"/>
      </c:valAx>
    </c:plotArea>
    <c:legend>
      <c:legendPos val="r"/>
      <c:legendEntry>
        <c:idx val="1"/>
        <c:delete val="1"/>
      </c:legendEntry>
      <c:layout>
        <c:manualLayout>
          <c:xMode val="edge"/>
          <c:yMode val="edge"/>
          <c:x val="0.59560197755452993"/>
          <c:y val="0.24114665354330711"/>
          <c:w val="0.38939987027483636"/>
          <c:h val="0.7470743110236221"/>
        </c:manualLayout>
      </c:layout>
      <c:overlay val="1"/>
      <c:spPr>
        <a:noFill/>
      </c:spPr>
      <c:txPr>
        <a:bodyPr/>
        <a:lstStyle/>
        <a:p>
          <a:pPr>
            <a:defRPr sz="1100"/>
          </a:pPr>
          <a:endParaRPr lang="en-US"/>
        </a:p>
      </c:txPr>
    </c:legend>
    <c:plotVisOnly val="1"/>
    <c:dispBlanksAs val="zero"/>
    <c:showDLblsOverMax val="0"/>
  </c:chart>
  <c:spPr>
    <a:solidFill>
      <a:schemeClr val="bg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122" l="0.70000000000000095" r="0.70000000000000095" t="0.750000000000001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Estimated Percent of Residential Bills under REFERENCE Rates</a:t>
            </a:r>
          </a:p>
        </c:rich>
      </c:tx>
      <c:layout>
        <c:manualLayout>
          <c:xMode val="edge"/>
          <c:yMode val="edge"/>
          <c:x val="0.21799167345461129"/>
          <c:y val="0"/>
        </c:manualLayout>
      </c:layout>
      <c:overlay val="1"/>
    </c:title>
    <c:autoTitleDeleted val="0"/>
    <c:plotArea>
      <c:layout>
        <c:manualLayout>
          <c:layoutTarget val="inner"/>
          <c:xMode val="edge"/>
          <c:yMode val="edge"/>
          <c:x val="5.0086483442443257E-2"/>
          <c:y val="0.14122643760439035"/>
          <c:w val="0.92359911907563275"/>
          <c:h val="0.44829626559837915"/>
        </c:manualLayout>
      </c:layout>
      <c:barChart>
        <c:barDir val="col"/>
        <c:grouping val="clustered"/>
        <c:varyColors val="0"/>
        <c:ser>
          <c:idx val="2"/>
          <c:order val="0"/>
          <c:tx>
            <c:v>Without any reductions to average water use</c:v>
          </c:tx>
          <c:spPr>
            <a:solidFill>
              <a:schemeClr val="tx1">
                <a:lumMod val="50000"/>
                <a:lumOff val="50000"/>
              </a:schemeClr>
            </a:solidFill>
          </c:spPr>
          <c:invertIfNegative val="0"/>
          <c:cat>
            <c:strRef>
              <c:f>'Significant Decline in Use'!$C$38:$AC$38</c:f>
              <c:strCache>
                <c:ptCount val="27"/>
                <c:pt idx="0">
                  <c:v>0</c:v>
                </c:pt>
                <c:pt idx="1">
                  <c:v>1 - 1000</c:v>
                </c:pt>
                <c:pt idx="2">
                  <c:v>1001 - 2000</c:v>
                </c:pt>
                <c:pt idx="3">
                  <c:v>2001 - 3000</c:v>
                </c:pt>
                <c:pt idx="4">
                  <c:v>3001 - 4000</c:v>
                </c:pt>
                <c:pt idx="5">
                  <c:v>4001 - 5000</c:v>
                </c:pt>
                <c:pt idx="6">
                  <c:v>5001 - 6000</c:v>
                </c:pt>
                <c:pt idx="7">
                  <c:v>6001 - 7000</c:v>
                </c:pt>
                <c:pt idx="8">
                  <c:v>7001 - 8000</c:v>
                </c:pt>
                <c:pt idx="9">
                  <c:v>8001 - 9000</c:v>
                </c:pt>
                <c:pt idx="10">
                  <c:v>9001 - 10000</c:v>
                </c:pt>
                <c:pt idx="11">
                  <c:v>10001 - 11000</c:v>
                </c:pt>
                <c:pt idx="12">
                  <c:v>11001 - 12000</c:v>
                </c:pt>
                <c:pt idx="13">
                  <c:v>12001 - 13000</c:v>
                </c:pt>
                <c:pt idx="14">
                  <c:v>13001 - 14000</c:v>
                </c:pt>
                <c:pt idx="15">
                  <c:v>14001 - 15000</c:v>
                </c:pt>
                <c:pt idx="16">
                  <c:v>15001 - 16000</c:v>
                </c:pt>
                <c:pt idx="17">
                  <c:v>16001 - 17000</c:v>
                </c:pt>
                <c:pt idx="18">
                  <c:v>17001 - 18000</c:v>
                </c:pt>
                <c:pt idx="19">
                  <c:v>18001 - 19000</c:v>
                </c:pt>
                <c:pt idx="20">
                  <c:v>19001 - 20000</c:v>
                </c:pt>
                <c:pt idx="21">
                  <c:v>20001 - 21000</c:v>
                </c:pt>
                <c:pt idx="22">
                  <c:v>21001 - 22000</c:v>
                </c:pt>
                <c:pt idx="23">
                  <c:v>22001 - 23000</c:v>
                </c:pt>
                <c:pt idx="24">
                  <c:v>23001 - 24000</c:v>
                </c:pt>
                <c:pt idx="25">
                  <c:v>24001 - 25000</c:v>
                </c:pt>
                <c:pt idx="26">
                  <c:v>&gt;25,000</c:v>
                </c:pt>
              </c:strCache>
            </c:strRef>
          </c:cat>
          <c:val>
            <c:numRef>
              <c:f>'Revenues from REFERENCE Rates'!$C$14:$AC$14</c:f>
              <c:numCache>
                <c:formatCode>0.0%</c:formatCode>
                <c:ptCount val="27"/>
                <c:pt idx="0">
                  <c:v>7.7546095450959154E-2</c:v>
                </c:pt>
                <c:pt idx="1">
                  <c:v>9.6082609711685071E-2</c:v>
                </c:pt>
                <c:pt idx="2">
                  <c:v>0.13701726742881207</c:v>
                </c:pt>
                <c:pt idx="3">
                  <c:v>0.13895733697978488</c:v>
                </c:pt>
                <c:pt idx="4">
                  <c:v>0.1308904884532891</c:v>
                </c:pt>
                <c:pt idx="5">
                  <c:v>0.1002924565190733</c:v>
                </c:pt>
                <c:pt idx="6">
                  <c:v>7.8682140948308776E-2</c:v>
                </c:pt>
                <c:pt idx="7">
                  <c:v>5.2159759001020357E-2</c:v>
                </c:pt>
                <c:pt idx="8">
                  <c:v>4.1553582708045565E-2</c:v>
                </c:pt>
                <c:pt idx="9">
                  <c:v>2.5850240975842258E-2</c:v>
                </c:pt>
                <c:pt idx="10">
                  <c:v>2.298698984963015E-2</c:v>
                </c:pt>
                <c:pt idx="11">
                  <c:v>1.3666095173310567E-2</c:v>
                </c:pt>
                <c:pt idx="12">
                  <c:v>1.3663781435026758E-2</c:v>
                </c:pt>
                <c:pt idx="13">
                  <c:v>8.18484917896997E-3</c:v>
                </c:pt>
                <c:pt idx="14">
                  <c:v>8.7146952459619485E-3</c:v>
                </c:pt>
                <c:pt idx="15">
                  <c:v>5.3690296875759198E-3</c:v>
                </c:pt>
                <c:pt idx="16">
                  <c:v>6.0423275281639797E-3</c:v>
                </c:pt>
                <c:pt idx="17">
                  <c:v>3.8500605042561214E-3</c:v>
                </c:pt>
                <c:pt idx="18">
                  <c:v>4.4712992334585066E-3</c:v>
                </c:pt>
                <c:pt idx="19">
                  <c:v>2.8458980890835512E-3</c:v>
                </c:pt>
                <c:pt idx="20">
                  <c:v>3.4197051834678771E-3</c:v>
                </c:pt>
                <c:pt idx="21">
                  <c:v>3.1860176168032931E-3</c:v>
                </c:pt>
                <c:pt idx="22">
                  <c:v>3.0691738334710007E-3</c:v>
                </c:pt>
                <c:pt idx="23">
                  <c:v>2.9164671067396881E-3</c:v>
                </c:pt>
                <c:pt idx="24">
                  <c:v>2.6850932783589118E-3</c:v>
                </c:pt>
                <c:pt idx="25">
                  <c:v>2.2986989849630149E-3</c:v>
                </c:pt>
                <c:pt idx="26">
                  <c:v>1.3597839893938236E-2</c:v>
                </c:pt>
              </c:numCache>
            </c:numRef>
          </c:val>
        </c:ser>
        <c:ser>
          <c:idx val="0"/>
          <c:order val="1"/>
          <c:tx>
            <c:strRef>
              <c:f>'Significant Decline in Use'!$B$54</c:f>
              <c:strCache>
                <c:ptCount val="1"/>
                <c:pt idx="0">
                  <c:v>Projected profile that results in 15% reduction in average residential water use</c:v>
                </c:pt>
              </c:strCache>
            </c:strRef>
          </c:tx>
          <c:spPr>
            <a:pattFill prst="wdUpDiag">
              <a:fgClr>
                <a:schemeClr val="tx1"/>
              </a:fgClr>
              <a:bgClr>
                <a:schemeClr val="bg1"/>
              </a:bgClr>
            </a:pattFill>
            <a:ln>
              <a:solidFill>
                <a:schemeClr val="tx1">
                  <a:lumMod val="50000"/>
                  <a:lumOff val="50000"/>
                </a:schemeClr>
              </a:solidFill>
            </a:ln>
          </c:spPr>
          <c:invertIfNegative val="0"/>
          <c:cat>
            <c:strRef>
              <c:f>'Significant Decline in Use'!$C$38:$AC$38</c:f>
              <c:strCache>
                <c:ptCount val="27"/>
                <c:pt idx="0">
                  <c:v>0</c:v>
                </c:pt>
                <c:pt idx="1">
                  <c:v>1 - 1000</c:v>
                </c:pt>
                <c:pt idx="2">
                  <c:v>1001 - 2000</c:v>
                </c:pt>
                <c:pt idx="3">
                  <c:v>2001 - 3000</c:v>
                </c:pt>
                <c:pt idx="4">
                  <c:v>3001 - 4000</c:v>
                </c:pt>
                <c:pt idx="5">
                  <c:v>4001 - 5000</c:v>
                </c:pt>
                <c:pt idx="6">
                  <c:v>5001 - 6000</c:v>
                </c:pt>
                <c:pt idx="7">
                  <c:v>6001 - 7000</c:v>
                </c:pt>
                <c:pt idx="8">
                  <c:v>7001 - 8000</c:v>
                </c:pt>
                <c:pt idx="9">
                  <c:v>8001 - 9000</c:v>
                </c:pt>
                <c:pt idx="10">
                  <c:v>9001 - 10000</c:v>
                </c:pt>
                <c:pt idx="11">
                  <c:v>10001 - 11000</c:v>
                </c:pt>
                <c:pt idx="12">
                  <c:v>11001 - 12000</c:v>
                </c:pt>
                <c:pt idx="13">
                  <c:v>12001 - 13000</c:v>
                </c:pt>
                <c:pt idx="14">
                  <c:v>13001 - 14000</c:v>
                </c:pt>
                <c:pt idx="15">
                  <c:v>14001 - 15000</c:v>
                </c:pt>
                <c:pt idx="16">
                  <c:v>15001 - 16000</c:v>
                </c:pt>
                <c:pt idx="17">
                  <c:v>16001 - 17000</c:v>
                </c:pt>
                <c:pt idx="18">
                  <c:v>17001 - 18000</c:v>
                </c:pt>
                <c:pt idx="19">
                  <c:v>18001 - 19000</c:v>
                </c:pt>
                <c:pt idx="20">
                  <c:v>19001 - 20000</c:v>
                </c:pt>
                <c:pt idx="21">
                  <c:v>20001 - 21000</c:v>
                </c:pt>
                <c:pt idx="22">
                  <c:v>21001 - 22000</c:v>
                </c:pt>
                <c:pt idx="23">
                  <c:v>22001 - 23000</c:v>
                </c:pt>
                <c:pt idx="24">
                  <c:v>23001 - 24000</c:v>
                </c:pt>
                <c:pt idx="25">
                  <c:v>24001 - 25000</c:v>
                </c:pt>
                <c:pt idx="26">
                  <c:v>&gt;25,000</c:v>
                </c:pt>
              </c:strCache>
            </c:strRef>
          </c:cat>
          <c:val>
            <c:numRef>
              <c:f>'Significant Decline in Use'!$C$42:$AC$42</c:f>
              <c:numCache>
                <c:formatCode>0.0%</c:formatCode>
                <c:ptCount val="27"/>
                <c:pt idx="0">
                  <c:v>6.8171866249816734E-2</c:v>
                </c:pt>
                <c:pt idx="1">
                  <c:v>0.12093398578563457</c:v>
                </c:pt>
                <c:pt idx="2">
                  <c:v>0.16976502618350503</c:v>
                </c:pt>
                <c:pt idx="3">
                  <c:v>0.16368531725640853</c:v>
                </c:pt>
                <c:pt idx="4">
                  <c:v>0.1345101284148742</c:v>
                </c:pt>
                <c:pt idx="5">
                  <c:v>0.1000607633405222</c:v>
                </c:pt>
                <c:pt idx="6">
                  <c:v>6.959153448519792E-2</c:v>
                </c:pt>
                <c:pt idx="7">
                  <c:v>4.5653707430193445E-2</c:v>
                </c:pt>
                <c:pt idx="8">
                  <c:v>3.0174363827332747E-2</c:v>
                </c:pt>
                <c:pt idx="9">
                  <c:v>2.1077064227146714E-2</c:v>
                </c:pt>
                <c:pt idx="10">
                  <c:v>1.4985883081105872E-2</c:v>
                </c:pt>
                <c:pt idx="11">
                  <c:v>1.0322421479906432E-2</c:v>
                </c:pt>
                <c:pt idx="12">
                  <c:v>8.1398150051412189E-3</c:v>
                </c:pt>
                <c:pt idx="13">
                  <c:v>5.5256536404058292E-3</c:v>
                </c:pt>
                <c:pt idx="14">
                  <c:v>5.4238010428875449E-3</c:v>
                </c:pt>
                <c:pt idx="15">
                  <c:v>4.3108175976849655E-3</c:v>
                </c:pt>
                <c:pt idx="16">
                  <c:v>2.4164526748828418E-3</c:v>
                </c:pt>
                <c:pt idx="17">
                  <c:v>2.812755513145596E-3</c:v>
                </c:pt>
                <c:pt idx="18">
                  <c:v>2.7407696940475374E-3</c:v>
                </c:pt>
                <c:pt idx="19">
                  <c:v>3.066505292762024E-3</c:v>
                </c:pt>
                <c:pt idx="20">
                  <c:v>1.5966933603509463E-3</c:v>
                </c:pt>
                <c:pt idx="21">
                  <c:v>1.1851834806884745E-3</c:v>
                </c:pt>
                <c:pt idx="22">
                  <c:v>1.1965956373007915E-3</c:v>
                </c:pt>
                <c:pt idx="23">
                  <c:v>1.1844784325742868E-3</c:v>
                </c:pt>
                <c:pt idx="24">
                  <c:v>1.3541138799702907E-3</c:v>
                </c:pt>
                <c:pt idx="25">
                  <c:v>1.7085274063156713E-3</c:v>
                </c:pt>
                <c:pt idx="26">
                  <c:v>8.4057755801977326E-3</c:v>
                </c:pt>
              </c:numCache>
            </c:numRef>
          </c:val>
        </c:ser>
        <c:ser>
          <c:idx val="1"/>
          <c:order val="2"/>
          <c:tx>
            <c:v>Before Rate Change (Last Year)</c:v>
          </c:tx>
          <c:spPr>
            <a:pattFill prst="dkUpDiag">
              <a:fgClr>
                <a:schemeClr val="tx1">
                  <a:lumMod val="65000"/>
                  <a:lumOff val="35000"/>
                </a:schemeClr>
              </a:fgClr>
              <a:bgClr>
                <a:schemeClr val="bg1"/>
              </a:bgClr>
            </a:pattFill>
          </c:spPr>
          <c:invertIfNegative val="0"/>
          <c:cat>
            <c:strRef>
              <c:f>'Significant Decline in Use'!$C$38:$AC$38</c:f>
              <c:strCache>
                <c:ptCount val="27"/>
                <c:pt idx="0">
                  <c:v>0</c:v>
                </c:pt>
                <c:pt idx="1">
                  <c:v>1 - 1000</c:v>
                </c:pt>
                <c:pt idx="2">
                  <c:v>1001 - 2000</c:v>
                </c:pt>
                <c:pt idx="3">
                  <c:v>2001 - 3000</c:v>
                </c:pt>
                <c:pt idx="4">
                  <c:v>3001 - 4000</c:v>
                </c:pt>
                <c:pt idx="5">
                  <c:v>4001 - 5000</c:v>
                </c:pt>
                <c:pt idx="6">
                  <c:v>5001 - 6000</c:v>
                </c:pt>
                <c:pt idx="7">
                  <c:v>6001 - 7000</c:v>
                </c:pt>
                <c:pt idx="8">
                  <c:v>7001 - 8000</c:v>
                </c:pt>
                <c:pt idx="9">
                  <c:v>8001 - 9000</c:v>
                </c:pt>
                <c:pt idx="10">
                  <c:v>9001 - 10000</c:v>
                </c:pt>
                <c:pt idx="11">
                  <c:v>10001 - 11000</c:v>
                </c:pt>
                <c:pt idx="12">
                  <c:v>11001 - 12000</c:v>
                </c:pt>
                <c:pt idx="13">
                  <c:v>12001 - 13000</c:v>
                </c:pt>
                <c:pt idx="14">
                  <c:v>13001 - 14000</c:v>
                </c:pt>
                <c:pt idx="15">
                  <c:v>14001 - 15000</c:v>
                </c:pt>
                <c:pt idx="16">
                  <c:v>15001 - 16000</c:v>
                </c:pt>
                <c:pt idx="17">
                  <c:v>16001 - 17000</c:v>
                </c:pt>
                <c:pt idx="18">
                  <c:v>17001 - 18000</c:v>
                </c:pt>
                <c:pt idx="19">
                  <c:v>18001 - 19000</c:v>
                </c:pt>
                <c:pt idx="20">
                  <c:v>19001 - 20000</c:v>
                </c:pt>
                <c:pt idx="21">
                  <c:v>20001 - 21000</c:v>
                </c:pt>
                <c:pt idx="22">
                  <c:v>21001 - 22000</c:v>
                </c:pt>
                <c:pt idx="23">
                  <c:v>22001 - 23000</c:v>
                </c:pt>
                <c:pt idx="24">
                  <c:v>23001 - 24000</c:v>
                </c:pt>
                <c:pt idx="25">
                  <c:v>24001 - 25000</c:v>
                </c:pt>
                <c:pt idx="26">
                  <c:v>&gt;25,000</c:v>
                </c:pt>
              </c:strCache>
            </c:strRef>
          </c:cat>
          <c:val>
            <c:numRef>
              <c:f>'Revenues from COMPARATIVE Rates'!$C$18:$AC$18</c:f>
            </c:numRef>
          </c:val>
        </c:ser>
        <c:dLbls>
          <c:showLegendKey val="0"/>
          <c:showVal val="0"/>
          <c:showCatName val="0"/>
          <c:showSerName val="0"/>
          <c:showPercent val="0"/>
          <c:showBubbleSize val="0"/>
        </c:dLbls>
        <c:gapWidth val="150"/>
        <c:axId val="155699840"/>
        <c:axId val="155706112"/>
      </c:barChart>
      <c:catAx>
        <c:axId val="155699840"/>
        <c:scaling>
          <c:orientation val="minMax"/>
        </c:scaling>
        <c:delete val="0"/>
        <c:axPos val="b"/>
        <c:title>
          <c:tx>
            <c:rich>
              <a:bodyPr/>
              <a:lstStyle/>
              <a:p>
                <a:pPr>
                  <a:defRPr sz="1200"/>
                </a:pPr>
                <a:r>
                  <a:rPr lang="en-US" sz="1200"/>
                  <a:t>gallons / month</a:t>
                </a:r>
              </a:p>
            </c:rich>
          </c:tx>
          <c:layout>
            <c:manualLayout>
              <c:xMode val="edge"/>
              <c:yMode val="edge"/>
              <c:x val="0.46346004163272697"/>
              <c:y val="0.9232068718682892"/>
            </c:manualLayout>
          </c:layout>
          <c:overlay val="0"/>
        </c:title>
        <c:numFmt formatCode="General" sourceLinked="1"/>
        <c:majorTickMark val="out"/>
        <c:minorTickMark val="none"/>
        <c:tickLblPos val="nextTo"/>
        <c:txPr>
          <a:bodyPr rot="-5400000" vert="horz"/>
          <a:lstStyle/>
          <a:p>
            <a:pPr>
              <a:defRPr sz="1000"/>
            </a:pPr>
            <a:endParaRPr lang="en-US"/>
          </a:p>
        </c:txPr>
        <c:crossAx val="155706112"/>
        <c:crosses val="autoZero"/>
        <c:auto val="1"/>
        <c:lblAlgn val="ctr"/>
        <c:lblOffset val="100"/>
        <c:noMultiLvlLbl val="0"/>
      </c:catAx>
      <c:valAx>
        <c:axId val="155706112"/>
        <c:scaling>
          <c:orientation val="minMax"/>
          <c:min val="0"/>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1100"/>
            </a:pPr>
            <a:endParaRPr lang="en-US"/>
          </a:p>
        </c:txPr>
        <c:crossAx val="155699840"/>
        <c:crosses val="autoZero"/>
        <c:crossBetween val="between"/>
      </c:valAx>
      <c:spPr>
        <a:noFill/>
        <a:ln>
          <a:solidFill>
            <a:schemeClr val="bg1">
              <a:lumMod val="95000"/>
            </a:schemeClr>
          </a:solidFill>
        </a:ln>
      </c:spPr>
    </c:plotArea>
    <c:legend>
      <c:legendPos val="r"/>
      <c:layout>
        <c:manualLayout>
          <c:xMode val="edge"/>
          <c:yMode val="edge"/>
          <c:x val="0.46871592200400236"/>
          <c:y val="0.13243020758768789"/>
          <c:w val="0.51915589878188317"/>
          <c:h val="0.21585356517935259"/>
        </c:manualLayout>
      </c:layout>
      <c:overlay val="0"/>
      <c:spPr>
        <a:noFill/>
        <a:ln>
          <a:noFill/>
        </a:ln>
      </c:spPr>
      <c:txPr>
        <a:bodyPr/>
        <a:lstStyle/>
        <a:p>
          <a:pPr>
            <a:defRPr sz="1100"/>
          </a:pPr>
          <a:endParaRPr lang="en-US"/>
        </a:p>
      </c:txPr>
    </c:legend>
    <c:plotVisOnly val="1"/>
    <c:dispBlanksAs val="gap"/>
    <c:showDLblsOverMax val="0"/>
  </c:chart>
  <c:spPr>
    <a:solidFill>
      <a:schemeClr val="bg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Estimated Percent of Residential Bills under COMPARATIVE Rates</a:t>
            </a:r>
          </a:p>
        </c:rich>
      </c:tx>
      <c:layout>
        <c:manualLayout>
          <c:xMode val="edge"/>
          <c:yMode val="edge"/>
          <c:x val="0.22437736949547973"/>
          <c:y val="0"/>
        </c:manualLayout>
      </c:layout>
      <c:overlay val="1"/>
    </c:title>
    <c:autoTitleDeleted val="0"/>
    <c:plotArea>
      <c:layout>
        <c:manualLayout>
          <c:layoutTarget val="inner"/>
          <c:xMode val="edge"/>
          <c:yMode val="edge"/>
          <c:x val="5.0086483442443257E-2"/>
          <c:y val="0.14122643760439035"/>
          <c:w val="0.92359911907563275"/>
          <c:h val="0.44829626559837915"/>
        </c:manualLayout>
      </c:layout>
      <c:barChart>
        <c:barDir val="col"/>
        <c:grouping val="clustered"/>
        <c:varyColors val="0"/>
        <c:ser>
          <c:idx val="2"/>
          <c:order val="0"/>
          <c:tx>
            <c:v>After price elasticity effects, but no other changes to average water use</c:v>
          </c:tx>
          <c:spPr>
            <a:solidFill>
              <a:schemeClr val="accent1"/>
            </a:solidFill>
          </c:spPr>
          <c:invertIfNegative val="0"/>
          <c:cat>
            <c:strRef>
              <c:f>'Significant Decline in Use'!$C$63:$AC$63</c:f>
              <c:strCache>
                <c:ptCount val="27"/>
                <c:pt idx="0">
                  <c:v>0 </c:v>
                </c:pt>
                <c:pt idx="1">
                  <c:v>1 - 1000</c:v>
                </c:pt>
                <c:pt idx="2">
                  <c:v>1001 - 2000</c:v>
                </c:pt>
                <c:pt idx="3">
                  <c:v>2001 - 3000</c:v>
                </c:pt>
                <c:pt idx="4">
                  <c:v>3001 - 4000</c:v>
                </c:pt>
                <c:pt idx="5">
                  <c:v>4001 - 5000</c:v>
                </c:pt>
                <c:pt idx="6">
                  <c:v>5001 - 6000</c:v>
                </c:pt>
                <c:pt idx="7">
                  <c:v>6001 - 7000</c:v>
                </c:pt>
                <c:pt idx="8">
                  <c:v>7001 - 8000</c:v>
                </c:pt>
                <c:pt idx="9">
                  <c:v>8001 - 9000</c:v>
                </c:pt>
                <c:pt idx="10">
                  <c:v>9001 - 10000</c:v>
                </c:pt>
                <c:pt idx="11">
                  <c:v>10001 - 11000</c:v>
                </c:pt>
                <c:pt idx="12">
                  <c:v>11001 - 12000</c:v>
                </c:pt>
                <c:pt idx="13">
                  <c:v>12001 - 13000</c:v>
                </c:pt>
                <c:pt idx="14">
                  <c:v>13001 - 14000</c:v>
                </c:pt>
                <c:pt idx="15">
                  <c:v>14001 - 15000</c:v>
                </c:pt>
                <c:pt idx="16">
                  <c:v>15001 - 16000</c:v>
                </c:pt>
                <c:pt idx="17">
                  <c:v>16001 - 17000</c:v>
                </c:pt>
                <c:pt idx="18">
                  <c:v>17001 - 18000</c:v>
                </c:pt>
                <c:pt idx="19">
                  <c:v>18001 - 19000</c:v>
                </c:pt>
                <c:pt idx="20">
                  <c:v>19001 - 20000</c:v>
                </c:pt>
                <c:pt idx="21">
                  <c:v>20001 - 21000</c:v>
                </c:pt>
                <c:pt idx="22">
                  <c:v>21001 - 22000</c:v>
                </c:pt>
                <c:pt idx="23">
                  <c:v>22001 - 23000</c:v>
                </c:pt>
                <c:pt idx="24">
                  <c:v>23001 - 24000</c:v>
                </c:pt>
                <c:pt idx="25">
                  <c:v>24001 - 25000</c:v>
                </c:pt>
                <c:pt idx="26">
                  <c:v>&gt;25,000</c:v>
                </c:pt>
              </c:strCache>
            </c:strRef>
          </c:cat>
          <c:val>
            <c:numRef>
              <c:f>'Revenues from COMPARATIVE Rates'!$C$107:$AC$107</c:f>
              <c:numCache>
                <c:formatCode>0.0%</c:formatCode>
                <c:ptCount val="27"/>
                <c:pt idx="0">
                  <c:v>7.7546005740378038E-2</c:v>
                </c:pt>
                <c:pt idx="1">
                  <c:v>9.7045012569368691E-2</c:v>
                </c:pt>
                <c:pt idx="2">
                  <c:v>0.13745556181549579</c:v>
                </c:pt>
                <c:pt idx="3">
                  <c:v>0.13993357265071962</c:v>
                </c:pt>
                <c:pt idx="4">
                  <c:v>0.1312454954459899</c:v>
                </c:pt>
                <c:pt idx="5">
                  <c:v>0.10041843908454737</c:v>
                </c:pt>
                <c:pt idx="6">
                  <c:v>7.8192694842567648E-2</c:v>
                </c:pt>
                <c:pt idx="7">
                  <c:v>5.2057894292361316E-2</c:v>
                </c:pt>
                <c:pt idx="8">
                  <c:v>4.0957747717210606E-2</c:v>
                </c:pt>
                <c:pt idx="9">
                  <c:v>2.5895328914869568E-2</c:v>
                </c:pt>
                <c:pt idx="10">
                  <c:v>2.2416627429566995E-2</c:v>
                </c:pt>
                <c:pt idx="11">
                  <c:v>1.3803746632068606E-2</c:v>
                </c:pt>
                <c:pt idx="12">
                  <c:v>1.3232253937110352E-2</c:v>
                </c:pt>
                <c:pt idx="13">
                  <c:v>8.3271344500192614E-3</c:v>
                </c:pt>
                <c:pt idx="14">
                  <c:v>8.3826641045901037E-3</c:v>
                </c:pt>
                <c:pt idx="15">
                  <c:v>5.5124750839596805E-3</c:v>
                </c:pt>
                <c:pt idx="16">
                  <c:v>5.7889664890103344E-3</c:v>
                </c:pt>
                <c:pt idx="17">
                  <c:v>3.9842527154579522E-3</c:v>
                </c:pt>
                <c:pt idx="18">
                  <c:v>4.2503323102765726E-3</c:v>
                </c:pt>
                <c:pt idx="19">
                  <c:v>2.9743071229507531E-3</c:v>
                </c:pt>
                <c:pt idx="20">
                  <c:v>3.4116031526961383E-3</c:v>
                </c:pt>
                <c:pt idx="21">
                  <c:v>3.1952688734305642E-3</c:v>
                </c:pt>
                <c:pt idx="22">
                  <c:v>3.0691702828426091E-3</c:v>
                </c:pt>
                <c:pt idx="23">
                  <c:v>2.8967969801122857E-3</c:v>
                </c:pt>
                <c:pt idx="24">
                  <c:v>2.6249330462758689E-3</c:v>
                </c:pt>
                <c:pt idx="25">
                  <c:v>1.8891651232122054E-3</c:v>
                </c:pt>
                <c:pt idx="26">
                  <c:v>1.3492549192911176E-2</c:v>
                </c:pt>
              </c:numCache>
            </c:numRef>
          </c:val>
        </c:ser>
        <c:ser>
          <c:idx val="0"/>
          <c:order val="1"/>
          <c:tx>
            <c:strRef>
              <c:f>'Significant Decline in Use'!$B$80</c:f>
              <c:strCache>
                <c:ptCount val="1"/>
                <c:pt idx="0">
                  <c:v>Projected profile, after price elasticity effects, and changing demands that result in 15% reduction in average residential water use</c:v>
                </c:pt>
              </c:strCache>
            </c:strRef>
          </c:tx>
          <c:spPr>
            <a:pattFill prst="wdUpDiag">
              <a:fgClr>
                <a:schemeClr val="accent1"/>
              </a:fgClr>
              <a:bgClr>
                <a:schemeClr val="bg1"/>
              </a:bgClr>
            </a:pattFill>
            <a:ln>
              <a:solidFill>
                <a:schemeClr val="tx2"/>
              </a:solidFill>
            </a:ln>
          </c:spPr>
          <c:invertIfNegative val="0"/>
          <c:cat>
            <c:strRef>
              <c:f>'Significant Decline in Use'!$C$63:$AC$63</c:f>
              <c:strCache>
                <c:ptCount val="27"/>
                <c:pt idx="0">
                  <c:v>0 </c:v>
                </c:pt>
                <c:pt idx="1">
                  <c:v>1 - 1000</c:v>
                </c:pt>
                <c:pt idx="2">
                  <c:v>1001 - 2000</c:v>
                </c:pt>
                <c:pt idx="3">
                  <c:v>2001 - 3000</c:v>
                </c:pt>
                <c:pt idx="4">
                  <c:v>3001 - 4000</c:v>
                </c:pt>
                <c:pt idx="5">
                  <c:v>4001 - 5000</c:v>
                </c:pt>
                <c:pt idx="6">
                  <c:v>5001 - 6000</c:v>
                </c:pt>
                <c:pt idx="7">
                  <c:v>6001 - 7000</c:v>
                </c:pt>
                <c:pt idx="8">
                  <c:v>7001 - 8000</c:v>
                </c:pt>
                <c:pt idx="9">
                  <c:v>8001 - 9000</c:v>
                </c:pt>
                <c:pt idx="10">
                  <c:v>9001 - 10000</c:v>
                </c:pt>
                <c:pt idx="11">
                  <c:v>10001 - 11000</c:v>
                </c:pt>
                <c:pt idx="12">
                  <c:v>11001 - 12000</c:v>
                </c:pt>
                <c:pt idx="13">
                  <c:v>12001 - 13000</c:v>
                </c:pt>
                <c:pt idx="14">
                  <c:v>13001 - 14000</c:v>
                </c:pt>
                <c:pt idx="15">
                  <c:v>14001 - 15000</c:v>
                </c:pt>
                <c:pt idx="16">
                  <c:v>15001 - 16000</c:v>
                </c:pt>
                <c:pt idx="17">
                  <c:v>16001 - 17000</c:v>
                </c:pt>
                <c:pt idx="18">
                  <c:v>17001 - 18000</c:v>
                </c:pt>
                <c:pt idx="19">
                  <c:v>18001 - 19000</c:v>
                </c:pt>
                <c:pt idx="20">
                  <c:v>19001 - 20000</c:v>
                </c:pt>
                <c:pt idx="21">
                  <c:v>20001 - 21000</c:v>
                </c:pt>
                <c:pt idx="22">
                  <c:v>21001 - 22000</c:v>
                </c:pt>
                <c:pt idx="23">
                  <c:v>22001 - 23000</c:v>
                </c:pt>
                <c:pt idx="24">
                  <c:v>23001 - 24000</c:v>
                </c:pt>
                <c:pt idx="25">
                  <c:v>24001 - 25000</c:v>
                </c:pt>
                <c:pt idx="26">
                  <c:v>&gt;25,000</c:v>
                </c:pt>
              </c:strCache>
            </c:strRef>
          </c:cat>
          <c:val>
            <c:numRef>
              <c:f>'Significant Decline in Use'!$C$67:$AC$67</c:f>
              <c:numCache>
                <c:formatCode>0.0%</c:formatCode>
                <c:ptCount val="27"/>
                <c:pt idx="0">
                  <c:v>6.8311718209540531E-2</c:v>
                </c:pt>
                <c:pt idx="1">
                  <c:v>0.12187438626078514</c:v>
                </c:pt>
                <c:pt idx="2">
                  <c:v>0.17044313356730778</c:v>
                </c:pt>
                <c:pt idx="3">
                  <c:v>0.16428779652659867</c:v>
                </c:pt>
                <c:pt idx="4">
                  <c:v>0.13470520950700252</c:v>
                </c:pt>
                <c:pt idx="5">
                  <c:v>9.9821602285023861E-2</c:v>
                </c:pt>
                <c:pt idx="6">
                  <c:v>6.917151083288868E-2</c:v>
                </c:pt>
                <c:pt idx="7">
                  <c:v>4.5266229120539243E-2</c:v>
                </c:pt>
                <c:pt idx="8">
                  <c:v>2.9833000246391406E-2</c:v>
                </c:pt>
                <c:pt idx="9">
                  <c:v>2.0840411577101741E-2</c:v>
                </c:pt>
                <c:pt idx="10">
                  <c:v>1.4815910508155894E-2</c:v>
                </c:pt>
                <c:pt idx="11">
                  <c:v>1.0212248197289315E-2</c:v>
                </c:pt>
                <c:pt idx="12">
                  <c:v>8.0396399948652122E-3</c:v>
                </c:pt>
                <c:pt idx="13">
                  <c:v>5.48745995499955E-3</c:v>
                </c:pt>
                <c:pt idx="14">
                  <c:v>5.3636772361751114E-3</c:v>
                </c:pt>
                <c:pt idx="15">
                  <c:v>4.2440764492736325E-3</c:v>
                </c:pt>
                <c:pt idx="16">
                  <c:v>2.401346857867772E-3</c:v>
                </c:pt>
                <c:pt idx="17">
                  <c:v>2.766177294596937E-3</c:v>
                </c:pt>
                <c:pt idx="18">
                  <c:v>2.6815342935893058E-3</c:v>
                </c:pt>
                <c:pt idx="19">
                  <c:v>2.9903440784928743E-3</c:v>
                </c:pt>
                <c:pt idx="20">
                  <c:v>1.5682570704653692E-3</c:v>
                </c:pt>
                <c:pt idx="21">
                  <c:v>1.1788956967774013E-3</c:v>
                </c:pt>
                <c:pt idx="22">
                  <c:v>1.188730168083031E-3</c:v>
                </c:pt>
                <c:pt idx="23">
                  <c:v>1.1777771241903096E-3</c:v>
                </c:pt>
                <c:pt idx="24">
                  <c:v>1.3325909725920388E-3</c:v>
                </c:pt>
                <c:pt idx="25">
                  <c:v>1.6799093952490636E-3</c:v>
                </c:pt>
                <c:pt idx="26">
                  <c:v>8.3164265741575098E-3</c:v>
                </c:pt>
              </c:numCache>
            </c:numRef>
          </c:val>
        </c:ser>
        <c:ser>
          <c:idx val="1"/>
          <c:order val="2"/>
          <c:tx>
            <c:v>Before Rate Change (Last Year)</c:v>
          </c:tx>
          <c:spPr>
            <a:pattFill prst="dkUpDiag">
              <a:fgClr>
                <a:schemeClr val="tx1">
                  <a:lumMod val="65000"/>
                  <a:lumOff val="35000"/>
                </a:schemeClr>
              </a:fgClr>
              <a:bgClr>
                <a:schemeClr val="bg1"/>
              </a:bgClr>
            </a:pattFill>
          </c:spPr>
          <c:invertIfNegative val="0"/>
          <c:cat>
            <c:strRef>
              <c:f>'Significant Decline in Use'!$C$63:$AC$63</c:f>
              <c:strCache>
                <c:ptCount val="27"/>
                <c:pt idx="0">
                  <c:v>0 </c:v>
                </c:pt>
                <c:pt idx="1">
                  <c:v>1 - 1000</c:v>
                </c:pt>
                <c:pt idx="2">
                  <c:v>1001 - 2000</c:v>
                </c:pt>
                <c:pt idx="3">
                  <c:v>2001 - 3000</c:v>
                </c:pt>
                <c:pt idx="4">
                  <c:v>3001 - 4000</c:v>
                </c:pt>
                <c:pt idx="5">
                  <c:v>4001 - 5000</c:v>
                </c:pt>
                <c:pt idx="6">
                  <c:v>5001 - 6000</c:v>
                </c:pt>
                <c:pt idx="7">
                  <c:v>6001 - 7000</c:v>
                </c:pt>
                <c:pt idx="8">
                  <c:v>7001 - 8000</c:v>
                </c:pt>
                <c:pt idx="9">
                  <c:v>8001 - 9000</c:v>
                </c:pt>
                <c:pt idx="10">
                  <c:v>9001 - 10000</c:v>
                </c:pt>
                <c:pt idx="11">
                  <c:v>10001 - 11000</c:v>
                </c:pt>
                <c:pt idx="12">
                  <c:v>11001 - 12000</c:v>
                </c:pt>
                <c:pt idx="13">
                  <c:v>12001 - 13000</c:v>
                </c:pt>
                <c:pt idx="14">
                  <c:v>13001 - 14000</c:v>
                </c:pt>
                <c:pt idx="15">
                  <c:v>14001 - 15000</c:v>
                </c:pt>
                <c:pt idx="16">
                  <c:v>15001 - 16000</c:v>
                </c:pt>
                <c:pt idx="17">
                  <c:v>16001 - 17000</c:v>
                </c:pt>
                <c:pt idx="18">
                  <c:v>17001 - 18000</c:v>
                </c:pt>
                <c:pt idx="19">
                  <c:v>18001 - 19000</c:v>
                </c:pt>
                <c:pt idx="20">
                  <c:v>19001 - 20000</c:v>
                </c:pt>
                <c:pt idx="21">
                  <c:v>20001 - 21000</c:v>
                </c:pt>
                <c:pt idx="22">
                  <c:v>21001 - 22000</c:v>
                </c:pt>
                <c:pt idx="23">
                  <c:v>22001 - 23000</c:v>
                </c:pt>
                <c:pt idx="24">
                  <c:v>23001 - 24000</c:v>
                </c:pt>
                <c:pt idx="25">
                  <c:v>24001 - 25000</c:v>
                </c:pt>
                <c:pt idx="26">
                  <c:v>&gt;25,000</c:v>
                </c:pt>
              </c:strCache>
            </c:strRef>
          </c:cat>
          <c:val>
            <c:numRef>
              <c:f>'Revenues from COMPARATIVE Rates'!$C$18:$AC$18</c:f>
            </c:numRef>
          </c:val>
        </c:ser>
        <c:dLbls>
          <c:showLegendKey val="0"/>
          <c:showVal val="0"/>
          <c:showCatName val="0"/>
          <c:showSerName val="0"/>
          <c:showPercent val="0"/>
          <c:showBubbleSize val="0"/>
        </c:dLbls>
        <c:gapWidth val="150"/>
        <c:axId val="163105408"/>
        <c:axId val="163111680"/>
      </c:barChart>
      <c:catAx>
        <c:axId val="163105408"/>
        <c:scaling>
          <c:orientation val="minMax"/>
        </c:scaling>
        <c:delete val="0"/>
        <c:axPos val="b"/>
        <c:title>
          <c:tx>
            <c:rich>
              <a:bodyPr/>
              <a:lstStyle/>
              <a:p>
                <a:pPr>
                  <a:defRPr sz="1200"/>
                </a:pPr>
                <a:r>
                  <a:rPr lang="en-US" sz="1200"/>
                  <a:t>gallons / month</a:t>
                </a:r>
              </a:p>
            </c:rich>
          </c:tx>
          <c:layout>
            <c:manualLayout>
              <c:xMode val="edge"/>
              <c:yMode val="edge"/>
              <c:x val="0.46346004163272697"/>
              <c:y val="0.9232068718682892"/>
            </c:manualLayout>
          </c:layout>
          <c:overlay val="0"/>
        </c:title>
        <c:numFmt formatCode="General" sourceLinked="1"/>
        <c:majorTickMark val="out"/>
        <c:minorTickMark val="none"/>
        <c:tickLblPos val="nextTo"/>
        <c:txPr>
          <a:bodyPr rot="-5400000" vert="horz"/>
          <a:lstStyle/>
          <a:p>
            <a:pPr>
              <a:defRPr sz="1000"/>
            </a:pPr>
            <a:endParaRPr lang="en-US"/>
          </a:p>
        </c:txPr>
        <c:crossAx val="163111680"/>
        <c:crosses val="autoZero"/>
        <c:auto val="1"/>
        <c:lblAlgn val="ctr"/>
        <c:lblOffset val="100"/>
        <c:noMultiLvlLbl val="0"/>
      </c:catAx>
      <c:valAx>
        <c:axId val="163111680"/>
        <c:scaling>
          <c:orientation val="minMax"/>
          <c:min val="0"/>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1100"/>
            </a:pPr>
            <a:endParaRPr lang="en-US"/>
          </a:p>
        </c:txPr>
        <c:crossAx val="163105408"/>
        <c:crosses val="autoZero"/>
        <c:crossBetween val="between"/>
      </c:valAx>
      <c:spPr>
        <a:noFill/>
        <a:ln>
          <a:solidFill>
            <a:schemeClr val="bg1">
              <a:lumMod val="95000"/>
            </a:schemeClr>
          </a:solidFill>
        </a:ln>
      </c:spPr>
    </c:plotArea>
    <c:legend>
      <c:legendPos val="r"/>
      <c:layout>
        <c:manualLayout>
          <c:xMode val="edge"/>
          <c:yMode val="edge"/>
          <c:x val="0.46871592200400236"/>
          <c:y val="0.13243020758768789"/>
          <c:w val="0.51915589878188317"/>
          <c:h val="0.29666149685834725"/>
        </c:manualLayout>
      </c:layout>
      <c:overlay val="0"/>
      <c:spPr>
        <a:noFill/>
        <a:ln>
          <a:noFill/>
        </a:ln>
      </c:spPr>
      <c:txPr>
        <a:bodyPr/>
        <a:lstStyle/>
        <a:p>
          <a:pPr>
            <a:defRPr sz="1100"/>
          </a:pPr>
          <a:endParaRPr lang="en-US"/>
        </a:p>
      </c:txPr>
    </c:legend>
    <c:plotVisOnly val="1"/>
    <c:dispBlanksAs val="gap"/>
    <c:showDLblsOverMax val="0"/>
  </c:chart>
  <c:spPr>
    <a:solidFill>
      <a:schemeClr val="bg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'pred conserv percent - REFEREN'!$A$43</c:f>
              <c:strCache>
                <c:ptCount val="1"/>
                <c:pt idx="0">
                  <c:v>-10%</c:v>
                </c:pt>
              </c:strCache>
            </c:strRef>
          </c:tx>
          <c:marker>
            <c:symbol val="none"/>
          </c:marker>
          <c:val>
            <c:numRef>
              <c:f>'pred conserv percent - REFEREN'!$D$49:$AD$49</c:f>
              <c:numCache>
                <c:formatCode>General</c:formatCode>
                <c:ptCount val="27"/>
                <c:pt idx="0">
                  <c:v>6.3707347731298228E-2</c:v>
                </c:pt>
                <c:pt idx="1">
                  <c:v>0.11548596726711605</c:v>
                </c:pt>
                <c:pt idx="2">
                  <c:v>0.16361500766498652</c:v>
                </c:pt>
                <c:pt idx="3">
                  <c:v>0.16089129873789002</c:v>
                </c:pt>
                <c:pt idx="4">
                  <c:v>0.13413360989635567</c:v>
                </c:pt>
                <c:pt idx="5">
                  <c:v>0.10184574482200369</c:v>
                </c:pt>
                <c:pt idx="6">
                  <c:v>7.2230015966679412E-2</c:v>
                </c:pt>
                <c:pt idx="7">
                  <c:v>4.8254188911674926E-2</c:v>
                </c:pt>
                <c:pt idx="8">
                  <c:v>3.1931345308814231E-2</c:v>
                </c:pt>
                <c:pt idx="9">
                  <c:v>2.2605545708628196E-2</c:v>
                </c:pt>
                <c:pt idx="10">
                  <c:v>1.6221864562587351E-2</c:v>
                </c:pt>
                <c:pt idx="11">
                  <c:v>1.1300902961387912E-2</c:v>
                </c:pt>
                <c:pt idx="12">
                  <c:v>8.9702964866226996E-3</c:v>
                </c:pt>
                <c:pt idx="13">
                  <c:v>6.1231351218873102E-3</c:v>
                </c:pt>
                <c:pt idx="14">
                  <c:v>5.9727825243690259E-3</c:v>
                </c:pt>
                <c:pt idx="15">
                  <c:v>4.6707990791664458E-3</c:v>
                </c:pt>
                <c:pt idx="16">
                  <c:v>2.5994341563643233E-3</c:v>
                </c:pt>
                <c:pt idx="17">
                  <c:v>3.0997369946270774E-3</c:v>
                </c:pt>
                <c:pt idx="18">
                  <c:v>3.2237511755290188E-3</c:v>
                </c:pt>
                <c:pt idx="19">
                  <c:v>3.5589867742435053E-3</c:v>
                </c:pt>
                <c:pt idx="20">
                  <c:v>1.8231748418324274E-3</c:v>
                </c:pt>
                <c:pt idx="21">
                  <c:v>1.2471649621699559E-3</c:v>
                </c:pt>
                <c:pt idx="22">
                  <c:v>1.2700771187822727E-3</c:v>
                </c:pt>
                <c:pt idx="23">
                  <c:v>1.2539599140557684E-3</c:v>
                </c:pt>
                <c:pt idx="24">
                  <c:v>1.5285953614517719E-3</c:v>
                </c:pt>
                <c:pt idx="25">
                  <c:v>2.0945088877971523E-3</c:v>
                </c:pt>
                <c:pt idx="26">
                  <c:v>1.0340757061679213E-2</c:v>
                </c:pt>
              </c:numCache>
            </c:numRef>
          </c:val>
          <c:smooth val="0"/>
        </c:ser>
        <c:ser>
          <c:idx val="0"/>
          <c:order val="1"/>
          <c:tx>
            <c:strRef>
              <c:f>'pred conserv percent - REFEREN'!$A$33</c:f>
              <c:strCache>
                <c:ptCount val="1"/>
                <c:pt idx="0">
                  <c:v>-15%</c:v>
                </c:pt>
              </c:strCache>
            </c:strRef>
          </c:tx>
          <c:marker>
            <c:symbol val="none"/>
          </c:marker>
          <c:cat>
            <c:strRef>
              <c:f>'pred conserv percent - REFEREN'!$D$3:$AD$3</c:f>
              <c:strCache>
                <c:ptCount val="27"/>
                <c:pt idx="0">
                  <c:v>percent2008_0</c:v>
                </c:pt>
                <c:pt idx="1">
                  <c:v>percent2008_1</c:v>
                </c:pt>
                <c:pt idx="2">
                  <c:v>percent2008_2</c:v>
                </c:pt>
                <c:pt idx="3">
                  <c:v>percent2008_3</c:v>
                </c:pt>
                <c:pt idx="4">
                  <c:v>percent2008_4</c:v>
                </c:pt>
                <c:pt idx="5">
                  <c:v>percent2008_5</c:v>
                </c:pt>
                <c:pt idx="6">
                  <c:v>percent2008_6</c:v>
                </c:pt>
                <c:pt idx="7">
                  <c:v>percent2008_7</c:v>
                </c:pt>
                <c:pt idx="8">
                  <c:v>percent2008_8</c:v>
                </c:pt>
                <c:pt idx="9">
                  <c:v>percent2008_9</c:v>
                </c:pt>
                <c:pt idx="10">
                  <c:v>percent2008_10</c:v>
                </c:pt>
                <c:pt idx="11">
                  <c:v>percent2008_11</c:v>
                </c:pt>
                <c:pt idx="12">
                  <c:v>percent2008_12</c:v>
                </c:pt>
                <c:pt idx="13">
                  <c:v>percent2008_13</c:v>
                </c:pt>
                <c:pt idx="14">
                  <c:v>percent2008_14</c:v>
                </c:pt>
                <c:pt idx="15">
                  <c:v>percent2008_15</c:v>
                </c:pt>
                <c:pt idx="16">
                  <c:v>percent2008_16</c:v>
                </c:pt>
                <c:pt idx="17">
                  <c:v>percent2008_17</c:v>
                </c:pt>
                <c:pt idx="18">
                  <c:v>percent2008_18</c:v>
                </c:pt>
                <c:pt idx="19">
                  <c:v>percent2008_19</c:v>
                </c:pt>
                <c:pt idx="20">
                  <c:v>percent2008_20</c:v>
                </c:pt>
                <c:pt idx="21">
                  <c:v>percent2008_21</c:v>
                </c:pt>
                <c:pt idx="22">
                  <c:v>percent2008_22</c:v>
                </c:pt>
                <c:pt idx="23">
                  <c:v>percent2008_23</c:v>
                </c:pt>
                <c:pt idx="24">
                  <c:v>percent2008_24</c:v>
                </c:pt>
                <c:pt idx="25">
                  <c:v>percent2008_25</c:v>
                </c:pt>
                <c:pt idx="26">
                  <c:v>percent2008_99</c:v>
                </c:pt>
              </c:strCache>
            </c:strRef>
          </c:cat>
          <c:val>
            <c:numRef>
              <c:f>'pred conserv percent - REFEREN'!$D$39:$AD$39</c:f>
              <c:numCache>
                <c:formatCode>General</c:formatCode>
                <c:ptCount val="27"/>
                <c:pt idx="0">
                  <c:v>6.8171866249816734E-2</c:v>
                </c:pt>
                <c:pt idx="1">
                  <c:v>0.12093398578563457</c:v>
                </c:pt>
                <c:pt idx="2">
                  <c:v>0.16976502618350503</c:v>
                </c:pt>
                <c:pt idx="3">
                  <c:v>0.16368531725640853</c:v>
                </c:pt>
                <c:pt idx="4">
                  <c:v>0.1345101284148742</c:v>
                </c:pt>
                <c:pt idx="5">
                  <c:v>0.1000607633405222</c:v>
                </c:pt>
                <c:pt idx="6">
                  <c:v>6.959153448519792E-2</c:v>
                </c:pt>
                <c:pt idx="7">
                  <c:v>4.5653707430193445E-2</c:v>
                </c:pt>
                <c:pt idx="8">
                  <c:v>3.0174363827332747E-2</c:v>
                </c:pt>
                <c:pt idx="9">
                  <c:v>2.1077064227146714E-2</c:v>
                </c:pt>
                <c:pt idx="10">
                  <c:v>1.4985883081105872E-2</c:v>
                </c:pt>
                <c:pt idx="11">
                  <c:v>1.0322421479906432E-2</c:v>
                </c:pt>
                <c:pt idx="12">
                  <c:v>8.1398150051412189E-3</c:v>
                </c:pt>
                <c:pt idx="13">
                  <c:v>5.5256536404058292E-3</c:v>
                </c:pt>
                <c:pt idx="14">
                  <c:v>5.4238010428875449E-3</c:v>
                </c:pt>
                <c:pt idx="15">
                  <c:v>4.3108175976849655E-3</c:v>
                </c:pt>
                <c:pt idx="16">
                  <c:v>2.4164526748828418E-3</c:v>
                </c:pt>
                <c:pt idx="17">
                  <c:v>2.812755513145596E-3</c:v>
                </c:pt>
                <c:pt idx="18">
                  <c:v>2.7407696940475374E-3</c:v>
                </c:pt>
                <c:pt idx="19">
                  <c:v>3.066505292762024E-3</c:v>
                </c:pt>
                <c:pt idx="20">
                  <c:v>1.5966933603509463E-3</c:v>
                </c:pt>
                <c:pt idx="21">
                  <c:v>1.1851834806884745E-3</c:v>
                </c:pt>
                <c:pt idx="22">
                  <c:v>1.1965956373007915E-3</c:v>
                </c:pt>
                <c:pt idx="23">
                  <c:v>1.1844784325742868E-3</c:v>
                </c:pt>
                <c:pt idx="24">
                  <c:v>1.3541138799702907E-3</c:v>
                </c:pt>
                <c:pt idx="25">
                  <c:v>1.7085274063156713E-3</c:v>
                </c:pt>
                <c:pt idx="26">
                  <c:v>8.4057755801977326E-3</c:v>
                </c:pt>
              </c:numCache>
            </c:numRef>
          </c:val>
          <c:smooth val="0"/>
        </c:ser>
        <c:ser>
          <c:idx val="2"/>
          <c:order val="2"/>
          <c:tx>
            <c:strRef>
              <c:f>'pred conserv percent - REFEREN'!$A$58</c:f>
              <c:strCache>
                <c:ptCount val="1"/>
                <c:pt idx="0">
                  <c:v>-20%</c:v>
                </c:pt>
              </c:strCache>
            </c:strRef>
          </c:tx>
          <c:marker>
            <c:symbol val="none"/>
          </c:marker>
          <c:val>
            <c:numRef>
              <c:f>'pred conserv percent - REFEREN'!$D$64:$AD$64</c:f>
              <c:numCache>
                <c:formatCode>General</c:formatCode>
                <c:ptCount val="27"/>
                <c:pt idx="0">
                  <c:v>7.2636384768335255E-2</c:v>
                </c:pt>
                <c:pt idx="1">
                  <c:v>0.12638200430415308</c:v>
                </c:pt>
                <c:pt idx="2">
                  <c:v>0.17591504470202354</c:v>
                </c:pt>
                <c:pt idx="3">
                  <c:v>0.16647933577492705</c:v>
                </c:pt>
                <c:pt idx="4">
                  <c:v>0.1348866469333927</c:v>
                </c:pt>
                <c:pt idx="5">
                  <c:v>9.827578185904072E-2</c:v>
                </c:pt>
                <c:pt idx="6">
                  <c:v>6.6953053003716442E-2</c:v>
                </c:pt>
                <c:pt idx="7">
                  <c:v>4.3053225948711964E-2</c:v>
                </c:pt>
                <c:pt idx="8">
                  <c:v>2.8417382345851269E-2</c:v>
                </c:pt>
                <c:pt idx="9">
                  <c:v>1.9548582745665233E-2</c:v>
                </c:pt>
                <c:pt idx="10">
                  <c:v>1.3749901599624388E-2</c:v>
                </c:pt>
                <c:pt idx="11">
                  <c:v>9.3439399984249494E-3</c:v>
                </c:pt>
                <c:pt idx="12">
                  <c:v>7.3093335236597366E-3</c:v>
                </c:pt>
                <c:pt idx="13">
                  <c:v>4.9281721589243474E-3</c:v>
                </c:pt>
                <c:pt idx="14">
                  <c:v>4.874819561406063E-3</c:v>
                </c:pt>
                <c:pt idx="15">
                  <c:v>3.9508361162034836E-3</c:v>
                </c:pt>
                <c:pt idx="16">
                  <c:v>2.2334711934013608E-3</c:v>
                </c:pt>
                <c:pt idx="17">
                  <c:v>2.5257740316641151E-3</c:v>
                </c:pt>
                <c:pt idx="18">
                  <c:v>2.2577882125660565E-3</c:v>
                </c:pt>
                <c:pt idx="19">
                  <c:v>2.5740238112805427E-3</c:v>
                </c:pt>
                <c:pt idx="20">
                  <c:v>1.3702118788694651E-3</c:v>
                </c:pt>
                <c:pt idx="21">
                  <c:v>1.1232019992069935E-3</c:v>
                </c:pt>
                <c:pt idx="22">
                  <c:v>1.1231141558193103E-3</c:v>
                </c:pt>
                <c:pt idx="23">
                  <c:v>1.1149969510928057E-3</c:v>
                </c:pt>
                <c:pt idx="24">
                  <c:v>1.1796323984888096E-3</c:v>
                </c:pt>
                <c:pt idx="25">
                  <c:v>1.3225459248341898E-3</c:v>
                </c:pt>
                <c:pt idx="26">
                  <c:v>6.4707940987162507E-3</c:v>
                </c:pt>
              </c:numCache>
            </c:numRef>
          </c:val>
          <c:smooth val="0"/>
        </c:ser>
        <c:dLbls>
          <c:showLegendKey val="0"/>
          <c:showVal val="0"/>
          <c:showCatName val="0"/>
          <c:showSerName val="0"/>
          <c:showPercent val="0"/>
          <c:showBubbleSize val="0"/>
        </c:dLbls>
        <c:marker val="1"/>
        <c:smooth val="0"/>
        <c:axId val="155576192"/>
        <c:axId val="155577728"/>
      </c:lineChart>
      <c:catAx>
        <c:axId val="155576192"/>
        <c:scaling>
          <c:orientation val="minMax"/>
        </c:scaling>
        <c:delete val="1"/>
        <c:axPos val="b"/>
        <c:majorTickMark val="out"/>
        <c:minorTickMark val="none"/>
        <c:tickLblPos val="none"/>
        <c:crossAx val="155577728"/>
        <c:crosses val="autoZero"/>
        <c:auto val="1"/>
        <c:lblAlgn val="ctr"/>
        <c:lblOffset val="100"/>
        <c:noMultiLvlLbl val="0"/>
      </c:catAx>
      <c:valAx>
        <c:axId val="155577728"/>
        <c:scaling>
          <c:orientation val="minMax"/>
        </c:scaling>
        <c:delete val="0"/>
        <c:axPos val="l"/>
        <c:majorGridlines/>
        <c:numFmt formatCode="0%" sourceLinked="0"/>
        <c:majorTickMark val="out"/>
        <c:minorTickMark val="none"/>
        <c:tickLblPos val="nextTo"/>
        <c:crossAx val="155576192"/>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'pred conserv percent - COMPAR'!$A$43</c:f>
              <c:strCache>
                <c:ptCount val="1"/>
                <c:pt idx="0">
                  <c:v>-10%</c:v>
                </c:pt>
              </c:strCache>
            </c:strRef>
          </c:tx>
          <c:marker>
            <c:symbol val="none"/>
          </c:marker>
          <c:cat>
            <c:strRef>
              <c:f>'pred conserv percent - COMPAR'!$D$3:$AD$3</c:f>
              <c:strCache>
                <c:ptCount val="27"/>
                <c:pt idx="0">
                  <c:v>percent2008_0</c:v>
                </c:pt>
                <c:pt idx="1">
                  <c:v>percent2008_1</c:v>
                </c:pt>
                <c:pt idx="2">
                  <c:v>percent2008_2</c:v>
                </c:pt>
                <c:pt idx="3">
                  <c:v>percent2008_3</c:v>
                </c:pt>
                <c:pt idx="4">
                  <c:v>percent2008_4</c:v>
                </c:pt>
                <c:pt idx="5">
                  <c:v>percent2008_5</c:v>
                </c:pt>
                <c:pt idx="6">
                  <c:v>percent2008_6</c:v>
                </c:pt>
                <c:pt idx="7">
                  <c:v>percent2008_7</c:v>
                </c:pt>
                <c:pt idx="8">
                  <c:v>percent2008_8</c:v>
                </c:pt>
                <c:pt idx="9">
                  <c:v>percent2008_9</c:v>
                </c:pt>
                <c:pt idx="10">
                  <c:v>percent2008_10</c:v>
                </c:pt>
                <c:pt idx="11">
                  <c:v>percent2008_11</c:v>
                </c:pt>
                <c:pt idx="12">
                  <c:v>percent2008_12</c:v>
                </c:pt>
                <c:pt idx="13">
                  <c:v>percent2008_13</c:v>
                </c:pt>
                <c:pt idx="14">
                  <c:v>percent2008_14</c:v>
                </c:pt>
                <c:pt idx="15">
                  <c:v>percent2008_15</c:v>
                </c:pt>
                <c:pt idx="16">
                  <c:v>percent2008_16</c:v>
                </c:pt>
                <c:pt idx="17">
                  <c:v>percent2008_17</c:v>
                </c:pt>
                <c:pt idx="18">
                  <c:v>percent2008_18</c:v>
                </c:pt>
                <c:pt idx="19">
                  <c:v>percent2008_19</c:v>
                </c:pt>
                <c:pt idx="20">
                  <c:v>percent2008_20</c:v>
                </c:pt>
                <c:pt idx="21">
                  <c:v>percent2008_21</c:v>
                </c:pt>
                <c:pt idx="22">
                  <c:v>percent2008_22</c:v>
                </c:pt>
                <c:pt idx="23">
                  <c:v>percent2008_23</c:v>
                </c:pt>
                <c:pt idx="24">
                  <c:v>percent2008_24</c:v>
                </c:pt>
                <c:pt idx="25">
                  <c:v>percent2008_25</c:v>
                </c:pt>
                <c:pt idx="26">
                  <c:v>percent2008_99</c:v>
                </c:pt>
              </c:strCache>
            </c:strRef>
          </c:cat>
          <c:val>
            <c:numRef>
              <c:f>'pred conserv percent - COMPAR'!$D$49:$AD$49</c:f>
              <c:numCache>
                <c:formatCode>General</c:formatCode>
                <c:ptCount val="27"/>
                <c:pt idx="0">
                  <c:v>6.3847199691022025E-2</c:v>
                </c:pt>
                <c:pt idx="1">
                  <c:v>0.11642636774226663</c:v>
                </c:pt>
                <c:pt idx="2">
                  <c:v>0.16429311504878927</c:v>
                </c:pt>
                <c:pt idx="3">
                  <c:v>0.16149377800808015</c:v>
                </c:pt>
                <c:pt idx="4">
                  <c:v>0.13432869098848399</c:v>
                </c:pt>
                <c:pt idx="5">
                  <c:v>0.10160658376650535</c:v>
                </c:pt>
                <c:pt idx="6">
                  <c:v>7.1809992314370172E-2</c:v>
                </c:pt>
                <c:pt idx="7">
                  <c:v>4.7866710602020718E-2</c:v>
                </c:pt>
                <c:pt idx="8">
                  <c:v>3.1589981727872883E-2</c:v>
                </c:pt>
                <c:pt idx="9">
                  <c:v>2.2368893058583222E-2</c:v>
                </c:pt>
                <c:pt idx="10">
                  <c:v>1.6051891989637371E-2</c:v>
                </c:pt>
                <c:pt idx="11">
                  <c:v>1.1190729678770793E-2</c:v>
                </c:pt>
                <c:pt idx="12">
                  <c:v>8.8701214763466912E-3</c:v>
                </c:pt>
                <c:pt idx="13">
                  <c:v>6.0849414364810266E-3</c:v>
                </c:pt>
                <c:pt idx="14">
                  <c:v>5.9126587176565881E-3</c:v>
                </c:pt>
                <c:pt idx="15">
                  <c:v>4.6040579307551083E-3</c:v>
                </c:pt>
                <c:pt idx="16">
                  <c:v>2.5843283393492495E-3</c:v>
                </c:pt>
                <c:pt idx="17">
                  <c:v>3.0531587760784145E-3</c:v>
                </c:pt>
                <c:pt idx="18">
                  <c:v>3.1645157750707824E-3</c:v>
                </c:pt>
                <c:pt idx="19">
                  <c:v>3.4828255599743509E-3</c:v>
                </c:pt>
                <c:pt idx="20">
                  <c:v>1.7947385519468462E-3</c:v>
                </c:pt>
                <c:pt idx="21">
                  <c:v>1.2408771782588784E-3</c:v>
                </c:pt>
                <c:pt idx="22">
                  <c:v>1.2622116495645079E-3</c:v>
                </c:pt>
                <c:pt idx="23">
                  <c:v>1.2472586056717868E-3</c:v>
                </c:pt>
                <c:pt idx="24">
                  <c:v>1.5070724540735159E-3</c:v>
                </c:pt>
                <c:pt idx="25">
                  <c:v>2.0658908767305405E-3</c:v>
                </c:pt>
                <c:pt idx="26">
                  <c:v>1.0251408055638988E-2</c:v>
                </c:pt>
              </c:numCache>
            </c:numRef>
          </c:val>
          <c:smooth val="0"/>
        </c:ser>
        <c:ser>
          <c:idx val="0"/>
          <c:order val="1"/>
          <c:tx>
            <c:strRef>
              <c:f>'pred conserv percent - COMPAR'!$A$33</c:f>
              <c:strCache>
                <c:ptCount val="1"/>
                <c:pt idx="0">
                  <c:v>-15%</c:v>
                </c:pt>
              </c:strCache>
            </c:strRef>
          </c:tx>
          <c:marker>
            <c:symbol val="none"/>
          </c:marker>
          <c:cat>
            <c:strRef>
              <c:f>'pred conserv percent - COMPAR'!$D$3:$AD$3</c:f>
              <c:strCache>
                <c:ptCount val="27"/>
                <c:pt idx="0">
                  <c:v>percent2008_0</c:v>
                </c:pt>
                <c:pt idx="1">
                  <c:v>percent2008_1</c:v>
                </c:pt>
                <c:pt idx="2">
                  <c:v>percent2008_2</c:v>
                </c:pt>
                <c:pt idx="3">
                  <c:v>percent2008_3</c:v>
                </c:pt>
                <c:pt idx="4">
                  <c:v>percent2008_4</c:v>
                </c:pt>
                <c:pt idx="5">
                  <c:v>percent2008_5</c:v>
                </c:pt>
                <c:pt idx="6">
                  <c:v>percent2008_6</c:v>
                </c:pt>
                <c:pt idx="7">
                  <c:v>percent2008_7</c:v>
                </c:pt>
                <c:pt idx="8">
                  <c:v>percent2008_8</c:v>
                </c:pt>
                <c:pt idx="9">
                  <c:v>percent2008_9</c:v>
                </c:pt>
                <c:pt idx="10">
                  <c:v>percent2008_10</c:v>
                </c:pt>
                <c:pt idx="11">
                  <c:v>percent2008_11</c:v>
                </c:pt>
                <c:pt idx="12">
                  <c:v>percent2008_12</c:v>
                </c:pt>
                <c:pt idx="13">
                  <c:v>percent2008_13</c:v>
                </c:pt>
                <c:pt idx="14">
                  <c:v>percent2008_14</c:v>
                </c:pt>
                <c:pt idx="15">
                  <c:v>percent2008_15</c:v>
                </c:pt>
                <c:pt idx="16">
                  <c:v>percent2008_16</c:v>
                </c:pt>
                <c:pt idx="17">
                  <c:v>percent2008_17</c:v>
                </c:pt>
                <c:pt idx="18">
                  <c:v>percent2008_18</c:v>
                </c:pt>
                <c:pt idx="19">
                  <c:v>percent2008_19</c:v>
                </c:pt>
                <c:pt idx="20">
                  <c:v>percent2008_20</c:v>
                </c:pt>
                <c:pt idx="21">
                  <c:v>percent2008_21</c:v>
                </c:pt>
                <c:pt idx="22">
                  <c:v>percent2008_22</c:v>
                </c:pt>
                <c:pt idx="23">
                  <c:v>percent2008_23</c:v>
                </c:pt>
                <c:pt idx="24">
                  <c:v>percent2008_24</c:v>
                </c:pt>
                <c:pt idx="25">
                  <c:v>percent2008_25</c:v>
                </c:pt>
                <c:pt idx="26">
                  <c:v>percent2008_99</c:v>
                </c:pt>
              </c:strCache>
            </c:strRef>
          </c:cat>
          <c:val>
            <c:numRef>
              <c:f>'pred conserv percent - COMPAR'!$D$39:$AD$39</c:f>
              <c:numCache>
                <c:formatCode>General</c:formatCode>
                <c:ptCount val="27"/>
                <c:pt idx="0">
                  <c:v>6.8311718209540531E-2</c:v>
                </c:pt>
                <c:pt idx="1">
                  <c:v>0.12187438626078514</c:v>
                </c:pt>
                <c:pt idx="2">
                  <c:v>0.17044313356730778</c:v>
                </c:pt>
                <c:pt idx="3">
                  <c:v>0.16428779652659867</c:v>
                </c:pt>
                <c:pt idx="4">
                  <c:v>0.13470520950700252</c:v>
                </c:pt>
                <c:pt idx="5">
                  <c:v>9.9821602285023861E-2</c:v>
                </c:pt>
                <c:pt idx="6">
                  <c:v>6.917151083288868E-2</c:v>
                </c:pt>
                <c:pt idx="7">
                  <c:v>4.5266229120539243E-2</c:v>
                </c:pt>
                <c:pt idx="8">
                  <c:v>2.9833000246391406E-2</c:v>
                </c:pt>
                <c:pt idx="9">
                  <c:v>2.0840411577101741E-2</c:v>
                </c:pt>
                <c:pt idx="10">
                  <c:v>1.4815910508155894E-2</c:v>
                </c:pt>
                <c:pt idx="11">
                  <c:v>1.0212248197289315E-2</c:v>
                </c:pt>
                <c:pt idx="12">
                  <c:v>8.0396399948652122E-3</c:v>
                </c:pt>
                <c:pt idx="13">
                  <c:v>5.48745995499955E-3</c:v>
                </c:pt>
                <c:pt idx="14">
                  <c:v>5.3636772361751114E-3</c:v>
                </c:pt>
                <c:pt idx="15">
                  <c:v>4.2440764492736325E-3</c:v>
                </c:pt>
                <c:pt idx="16">
                  <c:v>2.401346857867772E-3</c:v>
                </c:pt>
                <c:pt idx="17">
                  <c:v>2.766177294596937E-3</c:v>
                </c:pt>
                <c:pt idx="18">
                  <c:v>2.6815342935893058E-3</c:v>
                </c:pt>
                <c:pt idx="19">
                  <c:v>2.9903440784928743E-3</c:v>
                </c:pt>
                <c:pt idx="20">
                  <c:v>1.5682570704653692E-3</c:v>
                </c:pt>
                <c:pt idx="21">
                  <c:v>1.1788956967774013E-3</c:v>
                </c:pt>
                <c:pt idx="22">
                  <c:v>1.188730168083031E-3</c:v>
                </c:pt>
                <c:pt idx="23">
                  <c:v>1.1777771241903096E-3</c:v>
                </c:pt>
                <c:pt idx="24">
                  <c:v>1.3325909725920388E-3</c:v>
                </c:pt>
                <c:pt idx="25">
                  <c:v>1.6799093952490636E-3</c:v>
                </c:pt>
                <c:pt idx="26">
                  <c:v>8.3164265741575098E-3</c:v>
                </c:pt>
              </c:numCache>
            </c:numRef>
          </c:val>
          <c:smooth val="0"/>
        </c:ser>
        <c:ser>
          <c:idx val="2"/>
          <c:order val="2"/>
          <c:tx>
            <c:strRef>
              <c:f>'pred conserv percent - COMPAR'!$A$58</c:f>
              <c:strCache>
                <c:ptCount val="1"/>
                <c:pt idx="0">
                  <c:v>-20%</c:v>
                </c:pt>
              </c:strCache>
            </c:strRef>
          </c:tx>
          <c:marker>
            <c:symbol val="none"/>
          </c:marker>
          <c:cat>
            <c:strRef>
              <c:f>'pred conserv percent - COMPAR'!$D$3:$AD$3</c:f>
              <c:strCache>
                <c:ptCount val="27"/>
                <c:pt idx="0">
                  <c:v>percent2008_0</c:v>
                </c:pt>
                <c:pt idx="1">
                  <c:v>percent2008_1</c:v>
                </c:pt>
                <c:pt idx="2">
                  <c:v>percent2008_2</c:v>
                </c:pt>
                <c:pt idx="3">
                  <c:v>percent2008_3</c:v>
                </c:pt>
                <c:pt idx="4">
                  <c:v>percent2008_4</c:v>
                </c:pt>
                <c:pt idx="5">
                  <c:v>percent2008_5</c:v>
                </c:pt>
                <c:pt idx="6">
                  <c:v>percent2008_6</c:v>
                </c:pt>
                <c:pt idx="7">
                  <c:v>percent2008_7</c:v>
                </c:pt>
                <c:pt idx="8">
                  <c:v>percent2008_8</c:v>
                </c:pt>
                <c:pt idx="9">
                  <c:v>percent2008_9</c:v>
                </c:pt>
                <c:pt idx="10">
                  <c:v>percent2008_10</c:v>
                </c:pt>
                <c:pt idx="11">
                  <c:v>percent2008_11</c:v>
                </c:pt>
                <c:pt idx="12">
                  <c:v>percent2008_12</c:v>
                </c:pt>
                <c:pt idx="13">
                  <c:v>percent2008_13</c:v>
                </c:pt>
                <c:pt idx="14">
                  <c:v>percent2008_14</c:v>
                </c:pt>
                <c:pt idx="15">
                  <c:v>percent2008_15</c:v>
                </c:pt>
                <c:pt idx="16">
                  <c:v>percent2008_16</c:v>
                </c:pt>
                <c:pt idx="17">
                  <c:v>percent2008_17</c:v>
                </c:pt>
                <c:pt idx="18">
                  <c:v>percent2008_18</c:v>
                </c:pt>
                <c:pt idx="19">
                  <c:v>percent2008_19</c:v>
                </c:pt>
                <c:pt idx="20">
                  <c:v>percent2008_20</c:v>
                </c:pt>
                <c:pt idx="21">
                  <c:v>percent2008_21</c:v>
                </c:pt>
                <c:pt idx="22">
                  <c:v>percent2008_22</c:v>
                </c:pt>
                <c:pt idx="23">
                  <c:v>percent2008_23</c:v>
                </c:pt>
                <c:pt idx="24">
                  <c:v>percent2008_24</c:v>
                </c:pt>
                <c:pt idx="25">
                  <c:v>percent2008_25</c:v>
                </c:pt>
                <c:pt idx="26">
                  <c:v>percent2008_99</c:v>
                </c:pt>
              </c:strCache>
            </c:strRef>
          </c:cat>
          <c:val>
            <c:numRef>
              <c:f>'pred conserv percent - COMPAR'!$D$64:$AD$64</c:f>
              <c:numCache>
                <c:formatCode>General</c:formatCode>
                <c:ptCount val="27"/>
                <c:pt idx="0">
                  <c:v>7.2776236728059066E-2</c:v>
                </c:pt>
                <c:pt idx="1">
                  <c:v>0.12732240477930368</c:v>
                </c:pt>
                <c:pt idx="2">
                  <c:v>0.17659315208582629</c:v>
                </c:pt>
                <c:pt idx="3">
                  <c:v>0.16708181504511718</c:v>
                </c:pt>
                <c:pt idx="4">
                  <c:v>0.13508172802552101</c:v>
                </c:pt>
                <c:pt idx="5">
                  <c:v>9.803662080354239E-2</c:v>
                </c:pt>
                <c:pt idx="6">
                  <c:v>6.6533029351407216E-2</c:v>
                </c:pt>
                <c:pt idx="7">
                  <c:v>4.2665747639057769E-2</c:v>
                </c:pt>
                <c:pt idx="8">
                  <c:v>2.8076018764909932E-2</c:v>
                </c:pt>
                <c:pt idx="9">
                  <c:v>1.9311930095620267E-2</c:v>
                </c:pt>
                <c:pt idx="10">
                  <c:v>1.3579929026674415E-2</c:v>
                </c:pt>
                <c:pt idx="11">
                  <c:v>9.2337667158078375E-3</c:v>
                </c:pt>
                <c:pt idx="12">
                  <c:v>7.2091585133837351E-3</c:v>
                </c:pt>
                <c:pt idx="13">
                  <c:v>4.8899784735180725E-3</c:v>
                </c:pt>
                <c:pt idx="14">
                  <c:v>4.8146957546936339E-3</c:v>
                </c:pt>
                <c:pt idx="15">
                  <c:v>3.8840949677921544E-3</c:v>
                </c:pt>
                <c:pt idx="16">
                  <c:v>2.2183653763862949E-3</c:v>
                </c:pt>
                <c:pt idx="17">
                  <c:v>2.4791958131154595E-3</c:v>
                </c:pt>
                <c:pt idx="18">
                  <c:v>2.1985528121078284E-3</c:v>
                </c:pt>
                <c:pt idx="19">
                  <c:v>2.4978625970113965E-3</c:v>
                </c:pt>
                <c:pt idx="20">
                  <c:v>1.3417755889838922E-3</c:v>
                </c:pt>
                <c:pt idx="21">
                  <c:v>1.1169142152959244E-3</c:v>
                </c:pt>
                <c:pt idx="22">
                  <c:v>1.1152486866015539E-3</c:v>
                </c:pt>
                <c:pt idx="23">
                  <c:v>1.1082956427088326E-3</c:v>
                </c:pt>
                <c:pt idx="24">
                  <c:v>1.1581094911105618E-3</c:v>
                </c:pt>
                <c:pt idx="25">
                  <c:v>1.2939279137675862E-3</c:v>
                </c:pt>
                <c:pt idx="26">
                  <c:v>6.381445092676033E-3</c:v>
                </c:pt>
              </c:numCache>
            </c:numRef>
          </c:val>
          <c:smooth val="0"/>
        </c:ser>
        <c:dLbls>
          <c:showLegendKey val="0"/>
          <c:showVal val="0"/>
          <c:showCatName val="0"/>
          <c:showSerName val="0"/>
          <c:showPercent val="0"/>
          <c:showBubbleSize val="0"/>
        </c:dLbls>
        <c:marker val="1"/>
        <c:smooth val="0"/>
        <c:axId val="110889216"/>
        <c:axId val="110895104"/>
      </c:lineChart>
      <c:catAx>
        <c:axId val="110889216"/>
        <c:scaling>
          <c:orientation val="minMax"/>
        </c:scaling>
        <c:delete val="1"/>
        <c:axPos val="b"/>
        <c:majorTickMark val="out"/>
        <c:minorTickMark val="none"/>
        <c:tickLblPos val="none"/>
        <c:crossAx val="110895104"/>
        <c:crosses val="autoZero"/>
        <c:auto val="1"/>
        <c:lblAlgn val="ctr"/>
        <c:lblOffset val="100"/>
        <c:noMultiLvlLbl val="0"/>
      </c:catAx>
      <c:valAx>
        <c:axId val="110895104"/>
        <c:scaling>
          <c:orientation val="minMax"/>
        </c:scaling>
        <c:delete val="0"/>
        <c:axPos val="l"/>
        <c:majorGridlines/>
        <c:numFmt formatCode="0%" sourceLinked="0"/>
        <c:majorTickMark val="out"/>
        <c:minorTickMark val="none"/>
        <c:tickLblPos val="nextTo"/>
        <c:crossAx val="110889216"/>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Estimated Range of Total Annual Revenues under REFERENCE and COMPARATIVE Rates with Significant One-Time Decline in Water Use</a:t>
            </a:r>
          </a:p>
        </c:rich>
      </c:tx>
      <c:layout>
        <c:manualLayout>
          <c:xMode val="edge"/>
          <c:yMode val="edge"/>
          <c:x val="0.12959770114942529"/>
          <c:y val="6.99912510936133E-3"/>
        </c:manualLayout>
      </c:layout>
      <c:overlay val="0"/>
    </c:title>
    <c:autoTitleDeleted val="0"/>
    <c:plotArea>
      <c:layout>
        <c:manualLayout>
          <c:layoutTarget val="inner"/>
          <c:xMode val="edge"/>
          <c:yMode val="edge"/>
          <c:x val="0.182796061563085"/>
          <c:y val="0.19967027559055112"/>
          <c:w val="0.50026951712705603"/>
          <c:h val="0.71902148950131239"/>
        </c:manualLayout>
      </c:layout>
      <c:barChart>
        <c:barDir val="col"/>
        <c:grouping val="stacked"/>
        <c:varyColors val="0"/>
        <c:ser>
          <c:idx val="0"/>
          <c:order val="2"/>
          <c:spPr>
            <a:noFill/>
          </c:spPr>
          <c:invertIfNegative val="0"/>
          <c:dPt>
            <c:idx val="0"/>
            <c:invertIfNegative val="0"/>
            <c:bubble3D val="0"/>
            <c:spPr>
              <a:noFill/>
              <a:ln>
                <a:noFill/>
              </a:ln>
            </c:spPr>
          </c:dPt>
          <c:cat>
            <c:strRef>
              <c:f>'Significant Decline in Use'!$C$132:$D$132</c:f>
              <c:strCache>
                <c:ptCount val="2"/>
                <c:pt idx="0">
                  <c:v>REFERENCE Rates</c:v>
                </c:pt>
                <c:pt idx="1">
                  <c:v>COMPARATIVE Rates</c:v>
                </c:pt>
              </c:strCache>
            </c:strRef>
          </c:cat>
          <c:val>
            <c:numRef>
              <c:f>'Significant Decline in Use'!$C$133:$D$133</c:f>
              <c:numCache>
                <c:formatCode>"$"#,##0</c:formatCode>
                <c:ptCount val="2"/>
                <c:pt idx="0">
                  <c:v>13227000</c:v>
                </c:pt>
                <c:pt idx="1">
                  <c:v>14252000</c:v>
                </c:pt>
              </c:numCache>
            </c:numRef>
          </c:val>
        </c:ser>
        <c:ser>
          <c:idx val="1"/>
          <c:order val="3"/>
          <c:tx>
            <c:strRef>
              <c:f>'Significant Decline in Use'!$B$134</c:f>
              <c:strCache>
                <c:ptCount val="1"/>
                <c:pt idx="0">
                  <c:v>Range of projected total annual revenues with a one-time 10% - 20% reduction in average use</c:v>
                </c:pt>
              </c:strCache>
            </c:strRef>
          </c:tx>
          <c:spPr>
            <a:solidFill>
              <a:schemeClr val="accent2">
                <a:lumMod val="60000"/>
                <a:lumOff val="40000"/>
              </a:schemeClr>
            </a:solidFill>
          </c:spPr>
          <c:invertIfNegative val="0"/>
          <c:cat>
            <c:strRef>
              <c:f>'Significant Decline in Use'!$C$132:$D$132</c:f>
              <c:strCache>
                <c:ptCount val="2"/>
                <c:pt idx="0">
                  <c:v>REFERENCE Rates</c:v>
                </c:pt>
                <c:pt idx="1">
                  <c:v>COMPARATIVE Rates</c:v>
                </c:pt>
              </c:strCache>
            </c:strRef>
          </c:cat>
          <c:val>
            <c:numRef>
              <c:f>'Significant Decline in Use'!$C$134:$D$134</c:f>
              <c:numCache>
                <c:formatCode>"$"#,##0</c:formatCode>
                <c:ptCount val="2"/>
                <c:pt idx="0">
                  <c:v>870000</c:v>
                </c:pt>
                <c:pt idx="1">
                  <c:v>848000</c:v>
                </c:pt>
              </c:numCache>
            </c:numRef>
          </c:val>
        </c:ser>
        <c:dLbls>
          <c:showLegendKey val="0"/>
          <c:showVal val="0"/>
          <c:showCatName val="0"/>
          <c:showSerName val="0"/>
          <c:showPercent val="0"/>
          <c:showBubbleSize val="0"/>
        </c:dLbls>
        <c:gapWidth val="150"/>
        <c:overlap val="100"/>
        <c:axId val="165431936"/>
        <c:axId val="165442304"/>
      </c:barChart>
      <c:lineChart>
        <c:grouping val="standard"/>
        <c:varyColors val="0"/>
        <c:ser>
          <c:idx val="3"/>
          <c:order val="0"/>
          <c:tx>
            <c:strRef>
              <c:f>'Significant Decline in Use'!$B$137</c:f>
              <c:strCache>
                <c:ptCount val="1"/>
                <c:pt idx="0">
                  <c:v>With a 15% reduction in average use</c:v>
                </c:pt>
              </c:strCache>
            </c:strRef>
          </c:tx>
          <c:spPr>
            <a:ln w="28575">
              <a:noFill/>
            </a:ln>
          </c:spPr>
          <c:marker>
            <c:symbol val="dash"/>
            <c:size val="13"/>
            <c:spPr>
              <a:solidFill>
                <a:schemeClr val="accent2"/>
              </a:solidFill>
              <a:ln>
                <a:solidFill>
                  <a:schemeClr val="tx1"/>
                </a:solidFill>
              </a:ln>
            </c:spPr>
          </c:marker>
          <c:val>
            <c:numRef>
              <c:f>'Significant Decline in Use'!$C$137:$D$137</c:f>
              <c:numCache>
                <c:formatCode>"$"#,##0</c:formatCode>
                <c:ptCount val="2"/>
                <c:pt idx="0">
                  <c:v>13706000</c:v>
                </c:pt>
                <c:pt idx="1">
                  <c:v>14744000</c:v>
                </c:pt>
              </c:numCache>
            </c:numRef>
          </c:val>
          <c:smooth val="0"/>
        </c:ser>
        <c:ser>
          <c:idx val="2"/>
          <c:order val="1"/>
          <c:tx>
            <c:strRef>
              <c:f>'Significant Decline in Use'!$B$136</c:f>
              <c:strCache>
                <c:ptCount val="1"/>
                <c:pt idx="0">
                  <c:v>Without any significant declines in water use</c:v>
                </c:pt>
              </c:strCache>
            </c:strRef>
          </c:tx>
          <c:spPr>
            <a:ln>
              <a:noFill/>
            </a:ln>
          </c:spPr>
          <c:marker>
            <c:symbol val="circle"/>
            <c:size val="7"/>
            <c:spPr>
              <a:solidFill>
                <a:schemeClr val="tx1">
                  <a:lumMod val="65000"/>
                  <a:lumOff val="35000"/>
                </a:schemeClr>
              </a:solidFill>
              <a:ln>
                <a:noFill/>
              </a:ln>
            </c:spPr>
          </c:marker>
          <c:val>
            <c:numRef>
              <c:f>'Significant Decline in Use'!$C$136:$D$136</c:f>
              <c:numCache>
                <c:formatCode>"$"#,##0</c:formatCode>
                <c:ptCount val="2"/>
                <c:pt idx="0">
                  <c:v>15408000</c:v>
                </c:pt>
                <c:pt idx="1">
                  <c:v>16419000</c:v>
                </c:pt>
              </c:numCache>
            </c:numRef>
          </c:val>
          <c:smooth val="0"/>
        </c:ser>
        <c:dLbls>
          <c:showLegendKey val="0"/>
          <c:showVal val="0"/>
          <c:showCatName val="0"/>
          <c:showSerName val="0"/>
          <c:showPercent val="0"/>
          <c:showBubbleSize val="0"/>
        </c:dLbls>
        <c:marker val="1"/>
        <c:smooth val="0"/>
        <c:axId val="165431936"/>
        <c:axId val="165442304"/>
      </c:lineChart>
      <c:catAx>
        <c:axId val="165431936"/>
        <c:scaling>
          <c:orientation val="minMax"/>
        </c:scaling>
        <c:delete val="0"/>
        <c:axPos val="b"/>
        <c:numFmt formatCode="General" sourceLinked="0"/>
        <c:majorTickMark val="out"/>
        <c:minorTickMark val="none"/>
        <c:tickLblPos val="nextTo"/>
        <c:txPr>
          <a:bodyPr/>
          <a:lstStyle/>
          <a:p>
            <a:pPr>
              <a:defRPr sz="1200"/>
            </a:pPr>
            <a:endParaRPr lang="en-US"/>
          </a:p>
        </c:txPr>
        <c:crossAx val="165442304"/>
        <c:crosses val="autoZero"/>
        <c:auto val="0"/>
        <c:lblAlgn val="ctr"/>
        <c:lblOffset val="100"/>
        <c:noMultiLvlLbl val="0"/>
      </c:catAx>
      <c:valAx>
        <c:axId val="165442304"/>
        <c:scaling>
          <c:orientation val="minMax"/>
          <c:min val="0"/>
        </c:scaling>
        <c:delete val="0"/>
        <c:axPos val="l"/>
        <c:majorGridlines>
          <c:spPr>
            <a:ln w="12700">
              <a:solidFill>
                <a:schemeClr val="bg1">
                  <a:lumMod val="85000"/>
                </a:schemeClr>
              </a:solidFill>
              <a:prstDash val="solid"/>
            </a:ln>
            <a:effectLst/>
          </c:spPr>
        </c:majorGridlines>
        <c:numFmt formatCode="&quot;$&quot;#,##0" sourceLinked="0"/>
        <c:majorTickMark val="out"/>
        <c:minorTickMark val="none"/>
        <c:tickLblPos val="nextTo"/>
        <c:txPr>
          <a:bodyPr/>
          <a:lstStyle/>
          <a:p>
            <a:pPr>
              <a:defRPr sz="1100"/>
            </a:pPr>
            <a:endParaRPr lang="en-US"/>
          </a:p>
        </c:txPr>
        <c:crossAx val="165431936"/>
        <c:crosses val="autoZero"/>
        <c:crossBetween val="between"/>
      </c:valAx>
    </c:plotArea>
    <c:legend>
      <c:legendPos val="r"/>
      <c:legendEntry>
        <c:idx val="1"/>
        <c:delete val="1"/>
      </c:legendEntry>
      <c:layout>
        <c:manualLayout>
          <c:xMode val="edge"/>
          <c:yMode val="edge"/>
          <c:x val="0.70200418232657402"/>
          <c:y val="0.19963805606030016"/>
          <c:w val="0.29799581767342603"/>
          <c:h val="0.77098948869372097"/>
        </c:manualLayout>
      </c:layout>
      <c:overlay val="1"/>
      <c:spPr>
        <a:solidFill>
          <a:schemeClr val="bg1"/>
        </a:solidFill>
      </c:spPr>
      <c:txPr>
        <a:bodyPr/>
        <a:lstStyle/>
        <a:p>
          <a:pPr>
            <a:defRPr sz="1200"/>
          </a:pPr>
          <a:endParaRPr lang="en-US"/>
        </a:p>
      </c:txPr>
    </c:legend>
    <c:plotVisOnly val="1"/>
    <c:dispBlanksAs val="zero"/>
    <c:showDLblsOverMax val="0"/>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133" l="0.70000000000000095" r="0.70000000000000095" t="0.75000000000000133" header="0.30000000000000016" footer="0.30000000000000016"/>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Portions of Annual Revenues under REFERENCE and COMPARATIVE Rate Structures that are at</a:t>
            </a:r>
            <a:r>
              <a:rPr lang="en-US" sz="1400" baseline="0"/>
              <a:t> Risk of Loss Due </a:t>
            </a:r>
            <a:r>
              <a:rPr lang="en-US" sz="1400"/>
              <a:t>to Significant Reductions in Average Water Use</a:t>
            </a:r>
          </a:p>
        </c:rich>
      </c:tx>
      <c:layout>
        <c:manualLayout>
          <c:xMode val="edge"/>
          <c:yMode val="edge"/>
          <c:x val="0.1283706844336765"/>
          <c:y val="0"/>
        </c:manualLayout>
      </c:layout>
      <c:overlay val="0"/>
    </c:title>
    <c:autoTitleDeleted val="0"/>
    <c:plotArea>
      <c:layout>
        <c:manualLayout>
          <c:layoutTarget val="inner"/>
          <c:xMode val="edge"/>
          <c:yMode val="edge"/>
          <c:x val="0.17809417141822789"/>
          <c:y val="0.20661472003499567"/>
          <c:w val="0.52367352249072319"/>
          <c:h val="0.68556703849518807"/>
        </c:manualLayout>
      </c:layout>
      <c:barChart>
        <c:barDir val="col"/>
        <c:grouping val="stacked"/>
        <c:varyColors val="0"/>
        <c:ser>
          <c:idx val="0"/>
          <c:order val="0"/>
          <c:tx>
            <c:strRef>
              <c:f>'Significant Decline in Use'!$B$152</c:f>
              <c:strCache>
                <c:ptCount val="1"/>
                <c:pt idx="0">
                  <c:v>Portion of residential revenues at risk of decline because of 10% reduction in average water use</c:v>
                </c:pt>
              </c:strCache>
            </c:strRef>
          </c:tx>
          <c:spPr>
            <a:solidFill>
              <a:srgbClr val="FF0000"/>
            </a:solidFill>
            <a:ln>
              <a:solidFill>
                <a:srgbClr val="FF0000"/>
              </a:solidFill>
            </a:ln>
          </c:spPr>
          <c:invertIfNegative val="0"/>
          <c:cat>
            <c:strRef>
              <c:f>'Significant Decline in Use'!$C$151:$D$151</c:f>
              <c:strCache>
                <c:ptCount val="2"/>
                <c:pt idx="0">
                  <c:v>REFERENCE Rates</c:v>
                </c:pt>
                <c:pt idx="1">
                  <c:v>COMPARATIVE Rates</c:v>
                </c:pt>
              </c:strCache>
            </c:strRef>
          </c:cat>
          <c:val>
            <c:numRef>
              <c:f>'Significant Decline in Use'!$C$152:$D$152</c:f>
              <c:numCache>
                <c:formatCode>"$"#,##0</c:formatCode>
                <c:ptCount val="2"/>
                <c:pt idx="0">
                  <c:v>1311000</c:v>
                </c:pt>
                <c:pt idx="1">
                  <c:v>1319000</c:v>
                </c:pt>
              </c:numCache>
            </c:numRef>
          </c:val>
        </c:ser>
        <c:ser>
          <c:idx val="1"/>
          <c:order val="1"/>
          <c:tx>
            <c:strRef>
              <c:f>'Significant Decline in Use'!$B$153</c:f>
              <c:strCache>
                <c:ptCount val="1"/>
                <c:pt idx="0">
                  <c:v>Additional portion of residential revenues at risk of decline because of 11% to 20% reduction in average water use</c:v>
                </c:pt>
              </c:strCache>
            </c:strRef>
          </c:tx>
          <c:spPr>
            <a:pattFill prst="ltVert">
              <a:fgClr>
                <a:schemeClr val="accent2"/>
              </a:fgClr>
              <a:bgClr>
                <a:schemeClr val="bg1"/>
              </a:bgClr>
            </a:pattFill>
            <a:ln>
              <a:solidFill>
                <a:srgbClr val="FF0000"/>
              </a:solidFill>
            </a:ln>
          </c:spPr>
          <c:invertIfNegative val="0"/>
          <c:cat>
            <c:strRef>
              <c:f>'Significant Decline in Use'!$C$151:$D$151</c:f>
              <c:strCache>
                <c:ptCount val="2"/>
                <c:pt idx="0">
                  <c:v>REFERENCE Rates</c:v>
                </c:pt>
                <c:pt idx="1">
                  <c:v>COMPARATIVE Rates</c:v>
                </c:pt>
              </c:strCache>
            </c:strRef>
          </c:cat>
          <c:val>
            <c:numRef>
              <c:f>'Significant Decline in Use'!$C$153:$D$153</c:f>
              <c:numCache>
                <c:formatCode>"$"#,##0</c:formatCode>
                <c:ptCount val="2"/>
                <c:pt idx="0">
                  <c:v>870000</c:v>
                </c:pt>
                <c:pt idx="1">
                  <c:v>848000</c:v>
                </c:pt>
              </c:numCache>
            </c:numRef>
          </c:val>
        </c:ser>
        <c:ser>
          <c:idx val="2"/>
          <c:order val="2"/>
          <c:invertIfNegative val="0"/>
          <c:dPt>
            <c:idx val="0"/>
            <c:invertIfNegative val="0"/>
            <c:bubble3D val="0"/>
            <c:spPr>
              <a:solidFill>
                <a:schemeClr val="tx1">
                  <a:lumMod val="50000"/>
                  <a:lumOff val="50000"/>
                </a:schemeClr>
              </a:solidFill>
              <a:ln>
                <a:solidFill>
                  <a:schemeClr val="tx1">
                    <a:lumMod val="50000"/>
                    <a:lumOff val="50000"/>
                  </a:schemeClr>
                </a:solidFill>
              </a:ln>
            </c:spPr>
          </c:dPt>
          <c:dPt>
            <c:idx val="1"/>
            <c:invertIfNegative val="0"/>
            <c:bubble3D val="0"/>
            <c:spPr>
              <a:solidFill>
                <a:schemeClr val="accent1"/>
              </a:solidFill>
              <a:ln>
                <a:solidFill>
                  <a:schemeClr val="accent1"/>
                </a:solidFill>
              </a:ln>
            </c:spPr>
          </c:dPt>
          <c:cat>
            <c:strRef>
              <c:f>'Significant Decline in Use'!$C$151:$D$151</c:f>
              <c:strCache>
                <c:ptCount val="2"/>
                <c:pt idx="0">
                  <c:v>REFERENCE Rates</c:v>
                </c:pt>
                <c:pt idx="1">
                  <c:v>COMPARATIVE Rates</c:v>
                </c:pt>
              </c:strCache>
            </c:strRef>
          </c:cat>
          <c:val>
            <c:numRef>
              <c:f>'Significant Decline in Use'!$C$154:$D$154</c:f>
              <c:numCache>
                <c:formatCode>"$"#,##0</c:formatCode>
                <c:ptCount val="2"/>
                <c:pt idx="0">
                  <c:v>13227000</c:v>
                </c:pt>
                <c:pt idx="1">
                  <c:v>14252000</c:v>
                </c:pt>
              </c:numCache>
            </c:numRef>
          </c:val>
        </c:ser>
        <c:dLbls>
          <c:showLegendKey val="0"/>
          <c:showVal val="0"/>
          <c:showCatName val="0"/>
          <c:showSerName val="0"/>
          <c:showPercent val="0"/>
          <c:showBubbleSize val="0"/>
        </c:dLbls>
        <c:gapWidth val="75"/>
        <c:overlap val="100"/>
        <c:axId val="165023104"/>
        <c:axId val="165033088"/>
      </c:barChart>
      <c:catAx>
        <c:axId val="165023104"/>
        <c:scaling>
          <c:orientation val="minMax"/>
        </c:scaling>
        <c:delete val="0"/>
        <c:axPos val="b"/>
        <c:numFmt formatCode="General" sourceLinked="0"/>
        <c:majorTickMark val="out"/>
        <c:minorTickMark val="none"/>
        <c:tickLblPos val="nextTo"/>
        <c:txPr>
          <a:bodyPr/>
          <a:lstStyle/>
          <a:p>
            <a:pPr>
              <a:defRPr sz="1200"/>
            </a:pPr>
            <a:endParaRPr lang="en-US"/>
          </a:p>
        </c:txPr>
        <c:crossAx val="165033088"/>
        <c:crosses val="autoZero"/>
        <c:auto val="0"/>
        <c:lblAlgn val="ctr"/>
        <c:lblOffset val="100"/>
        <c:noMultiLvlLbl val="0"/>
      </c:catAx>
      <c:valAx>
        <c:axId val="165033088"/>
        <c:scaling>
          <c:orientation val="minMax"/>
          <c:min val="0"/>
        </c:scaling>
        <c:delete val="0"/>
        <c:axPos val="l"/>
        <c:majorGridlines>
          <c:spPr>
            <a:ln w="12700">
              <a:solidFill>
                <a:schemeClr val="bg1">
                  <a:lumMod val="85000"/>
                </a:schemeClr>
              </a:solidFill>
              <a:prstDash val="solid"/>
            </a:ln>
            <a:effectLst/>
          </c:spPr>
        </c:majorGridlines>
        <c:numFmt formatCode="&quot;$&quot;#,##0" sourceLinked="0"/>
        <c:majorTickMark val="out"/>
        <c:minorTickMark val="none"/>
        <c:tickLblPos val="nextTo"/>
        <c:txPr>
          <a:bodyPr/>
          <a:lstStyle/>
          <a:p>
            <a:pPr>
              <a:defRPr sz="1100"/>
            </a:pPr>
            <a:endParaRPr lang="en-US"/>
          </a:p>
        </c:txPr>
        <c:crossAx val="165023104"/>
        <c:crosses val="autoZero"/>
        <c:crossBetween val="between"/>
      </c:valAx>
    </c:plotArea>
    <c:legend>
      <c:legendPos val="r"/>
      <c:legendEntry>
        <c:idx val="0"/>
        <c:delete val="1"/>
      </c:legendEntry>
      <c:layout>
        <c:manualLayout>
          <c:xMode val="edge"/>
          <c:yMode val="edge"/>
          <c:x val="0.70895161181775357"/>
          <c:y val="0.1901561132983377"/>
          <c:w val="0.27845779081536376"/>
          <c:h val="0.78036882108486438"/>
        </c:manualLayout>
      </c:layout>
      <c:overlay val="1"/>
      <c:txPr>
        <a:bodyPr/>
        <a:lstStyle/>
        <a:p>
          <a:pPr>
            <a:defRPr sz="1200"/>
          </a:pPr>
          <a:endParaRPr lang="en-US"/>
        </a:p>
      </c:txPr>
    </c:legend>
    <c:plotVisOnly val="1"/>
    <c:dispBlanksAs val="zero"/>
    <c:showDLblsOverMax val="0"/>
  </c:chart>
  <c:spPr>
    <a:solidFill>
      <a:schemeClr val="lt1"/>
    </a:solidFill>
    <a:ln w="25400"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133" l="0.70000000000000095" r="0.70000000000000095" t="0.75000000000000133" header="0.30000000000000016" footer="0.30000000000000016"/>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efc.sog.unc.edu/" TargetMode="External"/><Relationship Id="rId2" Type="http://schemas.openxmlformats.org/officeDocument/2006/relationships/image" Target="../media/image1.png"/><Relationship Id="rId1" Type="http://schemas.openxmlformats.org/officeDocument/2006/relationships/hyperlink" Target="http://www.waterrf.org/" TargetMode="External"/><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jpg"/><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jpg"/></Relationships>
</file>

<file path=xl/drawings/_rels/drawing9.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image" Target="../media/image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jpg"/><Relationship Id="rId1" Type="http://schemas.openxmlformats.org/officeDocument/2006/relationships/chart" Target="../charts/chart10.xml"/><Relationship Id="rId4"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348440</xdr:colOff>
      <xdr:row>2</xdr:row>
      <xdr:rowOff>104776</xdr:rowOff>
    </xdr:from>
    <xdr:to>
      <xdr:col>8</xdr:col>
      <xdr:colOff>276225</xdr:colOff>
      <xdr:row>8</xdr:row>
      <xdr:rowOff>66676</xdr:rowOff>
    </xdr:to>
    <xdr:pic>
      <xdr:nvPicPr>
        <xdr:cNvPr id="4" name="Picture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86840" y="828676"/>
          <a:ext cx="2366185" cy="933450"/>
        </a:xfrm>
        <a:prstGeom prst="rect">
          <a:avLst/>
        </a:prstGeom>
      </xdr:spPr>
    </xdr:pic>
    <xdr:clientData/>
  </xdr:twoCellAnchor>
  <xdr:twoCellAnchor editAs="oneCell">
    <xdr:from>
      <xdr:col>8</xdr:col>
      <xdr:colOff>323850</xdr:colOff>
      <xdr:row>2</xdr:row>
      <xdr:rowOff>151278</xdr:rowOff>
    </xdr:from>
    <xdr:to>
      <xdr:col>15</xdr:col>
      <xdr:colOff>304800</xdr:colOff>
      <xdr:row>8</xdr:row>
      <xdr:rowOff>9368</xdr:rowOff>
    </xdr:to>
    <xdr:pic>
      <xdr:nvPicPr>
        <xdr:cNvPr id="8" name="Picture 7">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00650" y="875178"/>
          <a:ext cx="4248150" cy="829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114301</xdr:colOff>
      <xdr:row>0</xdr:row>
      <xdr:rowOff>57151</xdr:rowOff>
    </xdr:from>
    <xdr:to>
      <xdr:col>1</xdr:col>
      <xdr:colOff>373910</xdr:colOff>
      <xdr:row>0</xdr:row>
      <xdr:rowOff>400051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1" y="57151"/>
          <a:ext cx="869209" cy="342900"/>
        </a:xfrm>
        <a:prstGeom prst="rect">
          <a:avLst/>
        </a:prstGeom>
      </xdr:spPr>
    </xdr:pic>
    <xdr:clientData/>
  </xdr:twoCellAnchor>
  <xdr:twoCellAnchor editAs="oneCell">
    <xdr:from>
      <xdr:col>17</xdr:col>
      <xdr:colOff>9525</xdr:colOff>
      <xdr:row>0</xdr:row>
      <xdr:rowOff>9525</xdr:rowOff>
    </xdr:from>
    <xdr:to>
      <xdr:col>18</xdr:col>
      <xdr:colOff>390525</xdr:colOff>
      <xdr:row>0</xdr:row>
      <xdr:rowOff>445389</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372725" y="9525"/>
          <a:ext cx="990600" cy="435864"/>
        </a:xfrm>
        <a:prstGeom prst="rect">
          <a:avLst/>
        </a:prstGeom>
      </xdr:spPr>
    </xdr:pic>
    <xdr:clientData/>
  </xdr:twoCellAnchor>
  <xdr:twoCellAnchor editAs="oneCell">
    <xdr:from>
      <xdr:col>12</xdr:col>
      <xdr:colOff>542925</xdr:colOff>
      <xdr:row>4</xdr:row>
      <xdr:rowOff>123825</xdr:rowOff>
    </xdr:from>
    <xdr:to>
      <xdr:col>14</xdr:col>
      <xdr:colOff>57150</xdr:colOff>
      <xdr:row>7</xdr:row>
      <xdr:rowOff>12382</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58125" y="1381125"/>
          <a:ext cx="733425" cy="764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1085850</xdr:colOff>
      <xdr:row>83</xdr:row>
      <xdr:rowOff>133350</xdr:rowOff>
    </xdr:from>
    <xdr:to>
      <xdr:col>6</xdr:col>
      <xdr:colOff>419100</xdr:colOff>
      <xdr:row>109</xdr:row>
      <xdr:rowOff>38100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47625</xdr:colOff>
      <xdr:row>0</xdr:row>
      <xdr:rowOff>47626</xdr:rowOff>
    </xdr:from>
    <xdr:to>
      <xdr:col>0</xdr:col>
      <xdr:colOff>914453</xdr:colOff>
      <xdr:row>0</xdr:row>
      <xdr:rowOff>390526</xdr:rowOff>
    </xdr:to>
    <xdr:pic>
      <xdr:nvPicPr>
        <xdr:cNvPr id="11" name="Picture 10"/>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 y="47626"/>
          <a:ext cx="866828" cy="342900"/>
        </a:xfrm>
        <a:prstGeom prst="rect">
          <a:avLst/>
        </a:prstGeom>
      </xdr:spPr>
    </xdr:pic>
    <xdr:clientData/>
  </xdr:twoCellAnchor>
  <xdr:twoCellAnchor editAs="oneCell">
    <xdr:from>
      <xdr:col>7</xdr:col>
      <xdr:colOff>607218</xdr:colOff>
      <xdr:row>0</xdr:row>
      <xdr:rowOff>28575</xdr:rowOff>
    </xdr:from>
    <xdr:to>
      <xdr:col>9</xdr:col>
      <xdr:colOff>42862</xdr:colOff>
      <xdr:row>0</xdr:row>
      <xdr:rowOff>464439</xdr:rowOff>
    </xdr:to>
    <xdr:pic>
      <xdr:nvPicPr>
        <xdr:cNvPr id="12" name="Picture 1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617993" y="28575"/>
          <a:ext cx="988219" cy="4358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1009650</xdr:colOff>
      <xdr:row>81</xdr:row>
      <xdr:rowOff>104774</xdr:rowOff>
    </xdr:from>
    <xdr:to>
      <xdr:col>6</xdr:col>
      <xdr:colOff>342900</xdr:colOff>
      <xdr:row>107</xdr:row>
      <xdr:rowOff>9524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xdr:colOff>
      <xdr:row>0</xdr:row>
      <xdr:rowOff>57151</xdr:rowOff>
    </xdr:from>
    <xdr:to>
      <xdr:col>0</xdr:col>
      <xdr:colOff>923978</xdr:colOff>
      <xdr:row>0</xdr:row>
      <xdr:rowOff>400051</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150" y="57151"/>
          <a:ext cx="866828" cy="342900"/>
        </a:xfrm>
        <a:prstGeom prst="rect">
          <a:avLst/>
        </a:prstGeom>
      </xdr:spPr>
    </xdr:pic>
    <xdr:clientData/>
  </xdr:twoCellAnchor>
  <xdr:twoCellAnchor editAs="oneCell">
    <xdr:from>
      <xdr:col>8</xdr:col>
      <xdr:colOff>16668</xdr:colOff>
      <xdr:row>0</xdr:row>
      <xdr:rowOff>19050</xdr:rowOff>
    </xdr:from>
    <xdr:to>
      <xdr:col>9</xdr:col>
      <xdr:colOff>61912</xdr:colOff>
      <xdr:row>0</xdr:row>
      <xdr:rowOff>454914</xdr:rowOff>
    </xdr:to>
    <xdr:pic>
      <xdr:nvPicPr>
        <xdr:cNvPr id="7" name="Picture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741818" y="19050"/>
          <a:ext cx="988219" cy="4358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57150</xdr:colOff>
      <xdr:row>43</xdr:row>
      <xdr:rowOff>28575</xdr:rowOff>
    </xdr:from>
    <xdr:to>
      <xdr:col>7</xdr:col>
      <xdr:colOff>843915</xdr:colOff>
      <xdr:row>68</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19050</xdr:colOff>
      <xdr:row>0</xdr:row>
      <xdr:rowOff>28575</xdr:rowOff>
    </xdr:from>
    <xdr:to>
      <xdr:col>8</xdr:col>
      <xdr:colOff>926069</xdr:colOff>
      <xdr:row>0</xdr:row>
      <xdr:rowOff>428625</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591800" y="28575"/>
          <a:ext cx="907019" cy="400050"/>
        </a:xfrm>
        <a:prstGeom prst="rect">
          <a:avLst/>
        </a:prstGeom>
      </xdr:spPr>
    </xdr:pic>
    <xdr:clientData/>
  </xdr:twoCellAnchor>
  <xdr:twoCellAnchor editAs="oneCell">
    <xdr:from>
      <xdr:col>0</xdr:col>
      <xdr:colOff>47625</xdr:colOff>
      <xdr:row>0</xdr:row>
      <xdr:rowOff>57150</xdr:rowOff>
    </xdr:from>
    <xdr:to>
      <xdr:col>0</xdr:col>
      <xdr:colOff>914453</xdr:colOff>
      <xdr:row>0</xdr:row>
      <xdr:rowOff>400050</xdr:rowOff>
    </xdr:to>
    <xdr:pic>
      <xdr:nvPicPr>
        <xdr:cNvPr id="6" name="Picture 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 y="57150"/>
          <a:ext cx="866828" cy="342900"/>
        </a:xfrm>
        <a:prstGeom prst="rect">
          <a:avLst/>
        </a:prstGeom>
      </xdr:spPr>
    </xdr:pic>
    <xdr:clientData/>
  </xdr:twoCellAnchor>
  <xdr:twoCellAnchor>
    <xdr:from>
      <xdr:col>28</xdr:col>
      <xdr:colOff>57151</xdr:colOff>
      <xdr:row>32</xdr:row>
      <xdr:rowOff>19051</xdr:rowOff>
    </xdr:from>
    <xdr:to>
      <xdr:col>29</xdr:col>
      <xdr:colOff>152401</xdr:colOff>
      <xdr:row>38</xdr:row>
      <xdr:rowOff>142876</xdr:rowOff>
    </xdr:to>
    <xdr:sp macro="" textlink="">
      <xdr:nvSpPr>
        <xdr:cNvPr id="3" name="Oval 2"/>
        <xdr:cNvSpPr/>
      </xdr:nvSpPr>
      <xdr:spPr>
        <a:xfrm>
          <a:off x="30746701" y="8048626"/>
          <a:ext cx="1085850" cy="1409700"/>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133350</xdr:colOff>
      <xdr:row>118</xdr:row>
      <xdr:rowOff>152400</xdr:rowOff>
    </xdr:from>
    <xdr:to>
      <xdr:col>7</xdr:col>
      <xdr:colOff>862965</xdr:colOff>
      <xdr:row>144</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114300</xdr:colOff>
      <xdr:row>144</xdr:row>
      <xdr:rowOff>123825</xdr:rowOff>
    </xdr:from>
    <xdr:to>
      <xdr:col>7</xdr:col>
      <xdr:colOff>843915</xdr:colOff>
      <xdr:row>170</xdr:row>
      <xdr:rowOff>28575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8</xdr:col>
      <xdr:colOff>9525</xdr:colOff>
      <xdr:row>0</xdr:row>
      <xdr:rowOff>0</xdr:rowOff>
    </xdr:from>
    <xdr:to>
      <xdr:col>8</xdr:col>
      <xdr:colOff>916544</xdr:colOff>
      <xdr:row>0</xdr:row>
      <xdr:rowOff>400050</xdr:rowOff>
    </xdr:to>
    <xdr:pic>
      <xdr:nvPicPr>
        <xdr:cNvPr id="7" name="Picture 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972800" y="0"/>
          <a:ext cx="907019" cy="400050"/>
        </a:xfrm>
        <a:prstGeom prst="rect">
          <a:avLst/>
        </a:prstGeom>
      </xdr:spPr>
    </xdr:pic>
    <xdr:clientData/>
  </xdr:twoCellAnchor>
  <xdr:twoCellAnchor editAs="oneCell">
    <xdr:from>
      <xdr:col>0</xdr:col>
      <xdr:colOff>57150</xdr:colOff>
      <xdr:row>0</xdr:row>
      <xdr:rowOff>57150</xdr:rowOff>
    </xdr:from>
    <xdr:to>
      <xdr:col>0</xdr:col>
      <xdr:colOff>923978</xdr:colOff>
      <xdr:row>0</xdr:row>
      <xdr:rowOff>400050</xdr:rowOff>
    </xdr:to>
    <xdr:pic>
      <xdr:nvPicPr>
        <xdr:cNvPr id="8" name="Picture 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7150" y="57150"/>
          <a:ext cx="866828" cy="342900"/>
        </a:xfrm>
        <a:prstGeom prst="rect">
          <a:avLst/>
        </a:prstGeom>
      </xdr:spPr>
    </xdr:pic>
    <xdr:clientData/>
  </xdr:twoCellAnchor>
  <xdr:twoCellAnchor>
    <xdr:from>
      <xdr:col>28</xdr:col>
      <xdr:colOff>66675</xdr:colOff>
      <xdr:row>107</xdr:row>
      <xdr:rowOff>152400</xdr:rowOff>
    </xdr:from>
    <xdr:to>
      <xdr:col>29</xdr:col>
      <xdr:colOff>161925</xdr:colOff>
      <xdr:row>114</xdr:row>
      <xdr:rowOff>276225</xdr:rowOff>
    </xdr:to>
    <xdr:sp macro="" textlink="">
      <xdr:nvSpPr>
        <xdr:cNvPr id="6" name="Oval 5"/>
        <xdr:cNvSpPr/>
      </xdr:nvSpPr>
      <xdr:spPr>
        <a:xfrm>
          <a:off x="30841950" y="8401050"/>
          <a:ext cx="1085850" cy="1438275"/>
        </a:xfrm>
        <a:prstGeom prst="ellipse">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66675</xdr:colOff>
      <xdr:row>31</xdr:row>
      <xdr:rowOff>66675</xdr:rowOff>
    </xdr:from>
    <xdr:to>
      <xdr:col>9</xdr:col>
      <xdr:colOff>520827</xdr:colOff>
      <xdr:row>54</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57149</xdr:colOff>
      <xdr:row>8</xdr:row>
      <xdr:rowOff>57150</xdr:rowOff>
    </xdr:from>
    <xdr:to>
      <xdr:col>9</xdr:col>
      <xdr:colOff>514350</xdr:colOff>
      <xdr:row>26</xdr:row>
      <xdr:rowOff>304800</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14</xdr:col>
      <xdr:colOff>47625</xdr:colOff>
      <xdr:row>0</xdr:row>
      <xdr:rowOff>38099</xdr:rowOff>
    </xdr:from>
    <xdr:to>
      <xdr:col>15</xdr:col>
      <xdr:colOff>345044</xdr:colOff>
      <xdr:row>0</xdr:row>
      <xdr:rowOff>438149</xdr:rowOff>
    </xdr:to>
    <xdr:pic>
      <xdr:nvPicPr>
        <xdr:cNvPr id="10" name="Picture 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429875" y="38099"/>
          <a:ext cx="907019" cy="400050"/>
        </a:xfrm>
        <a:prstGeom prst="rect">
          <a:avLst/>
        </a:prstGeom>
      </xdr:spPr>
    </xdr:pic>
    <xdr:clientData/>
  </xdr:twoCellAnchor>
  <xdr:twoCellAnchor editAs="oneCell">
    <xdr:from>
      <xdr:col>0</xdr:col>
      <xdr:colOff>0</xdr:colOff>
      <xdr:row>0</xdr:row>
      <xdr:rowOff>66675</xdr:rowOff>
    </xdr:from>
    <xdr:to>
      <xdr:col>0</xdr:col>
      <xdr:colOff>866828</xdr:colOff>
      <xdr:row>0</xdr:row>
      <xdr:rowOff>409575</xdr:rowOff>
    </xdr:to>
    <xdr:pic>
      <xdr:nvPicPr>
        <xdr:cNvPr id="7" name="Picture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66675"/>
          <a:ext cx="866828" cy="3429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0</xdr:colOff>
      <xdr:row>0</xdr:row>
      <xdr:rowOff>47624</xdr:rowOff>
    </xdr:from>
    <xdr:to>
      <xdr:col>7</xdr:col>
      <xdr:colOff>840344</xdr:colOff>
      <xdr:row>0</xdr:row>
      <xdr:rowOff>418266</xdr:rowOff>
    </xdr:to>
    <xdr:pic>
      <xdr:nvPicPr>
        <xdr:cNvPr id="7" name="Pictur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72800" y="47624"/>
          <a:ext cx="840344" cy="370642"/>
        </a:xfrm>
        <a:prstGeom prst="rect">
          <a:avLst/>
        </a:prstGeom>
      </xdr:spPr>
    </xdr:pic>
    <xdr:clientData/>
  </xdr:twoCellAnchor>
  <xdr:twoCellAnchor editAs="oneCell">
    <xdr:from>
      <xdr:col>0</xdr:col>
      <xdr:colOff>0</xdr:colOff>
      <xdr:row>0</xdr:row>
      <xdr:rowOff>47626</xdr:rowOff>
    </xdr:from>
    <xdr:to>
      <xdr:col>1</xdr:col>
      <xdr:colOff>13335</xdr:colOff>
      <xdr:row>0</xdr:row>
      <xdr:rowOff>373173</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7626"/>
          <a:ext cx="822960" cy="32554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85724</xdr:colOff>
      <xdr:row>14</xdr:row>
      <xdr:rowOff>38099</xdr:rowOff>
    </xdr:from>
    <xdr:to>
      <xdr:col>10</xdr:col>
      <xdr:colOff>321944</xdr:colOff>
      <xdr:row>31</xdr:row>
      <xdr:rowOff>114299</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57151</xdr:colOff>
      <xdr:row>35</xdr:row>
      <xdr:rowOff>0</xdr:rowOff>
    </xdr:from>
    <xdr:to>
      <xdr:col>10</xdr:col>
      <xdr:colOff>293371</xdr:colOff>
      <xdr:row>55</xdr:row>
      <xdr:rowOff>161925</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47625</xdr:colOff>
      <xdr:row>0</xdr:row>
      <xdr:rowOff>57148</xdr:rowOff>
    </xdr:from>
    <xdr:to>
      <xdr:col>16</xdr:col>
      <xdr:colOff>278369</xdr:colOff>
      <xdr:row>0</xdr:row>
      <xdr:rowOff>427790</xdr:rowOff>
    </xdr:to>
    <xdr:pic>
      <xdr:nvPicPr>
        <xdr:cNvPr id="21" name="Picture 2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629900" y="57148"/>
          <a:ext cx="840344" cy="370642"/>
        </a:xfrm>
        <a:prstGeom prst="rect">
          <a:avLst/>
        </a:prstGeom>
      </xdr:spPr>
    </xdr:pic>
    <xdr:clientData/>
  </xdr:twoCellAnchor>
  <xdr:twoCellAnchor editAs="oneCell">
    <xdr:from>
      <xdr:col>0</xdr:col>
      <xdr:colOff>0</xdr:colOff>
      <xdr:row>0</xdr:row>
      <xdr:rowOff>38101</xdr:rowOff>
    </xdr:from>
    <xdr:to>
      <xdr:col>1</xdr:col>
      <xdr:colOff>32385</xdr:colOff>
      <xdr:row>0</xdr:row>
      <xdr:rowOff>363648</xdr:rowOff>
    </xdr:to>
    <xdr:pic>
      <xdr:nvPicPr>
        <xdr:cNvPr id="8" name="Picture 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38101"/>
          <a:ext cx="822960" cy="32554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142875</xdr:colOff>
      <xdr:row>46</xdr:row>
      <xdr:rowOff>57150</xdr:rowOff>
    </xdr:from>
    <xdr:to>
      <xdr:col>8</xdr:col>
      <xdr:colOff>752475</xdr:colOff>
      <xdr:row>59</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9525</xdr:colOff>
      <xdr:row>0</xdr:row>
      <xdr:rowOff>38098</xdr:rowOff>
    </xdr:from>
    <xdr:to>
      <xdr:col>9</xdr:col>
      <xdr:colOff>849869</xdr:colOff>
      <xdr:row>0</xdr:row>
      <xdr:rowOff>408740</xdr:rowOff>
    </xdr:to>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858500" y="38098"/>
          <a:ext cx="840344" cy="370642"/>
        </a:xfrm>
        <a:prstGeom prst="rect">
          <a:avLst/>
        </a:prstGeom>
      </xdr:spPr>
    </xdr:pic>
    <xdr:clientData/>
  </xdr:twoCellAnchor>
  <xdr:twoCellAnchor editAs="oneCell">
    <xdr:from>
      <xdr:col>0</xdr:col>
      <xdr:colOff>19050</xdr:colOff>
      <xdr:row>0</xdr:row>
      <xdr:rowOff>95251</xdr:rowOff>
    </xdr:from>
    <xdr:to>
      <xdr:col>1</xdr:col>
      <xdr:colOff>22860</xdr:colOff>
      <xdr:row>0</xdr:row>
      <xdr:rowOff>420798</xdr:rowOff>
    </xdr:to>
    <xdr:pic>
      <xdr:nvPicPr>
        <xdr:cNvPr id="8" name="Picture 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50" y="95251"/>
          <a:ext cx="822960" cy="325547"/>
        </a:xfrm>
        <a:prstGeom prst="rect">
          <a:avLst/>
        </a:prstGeom>
      </xdr:spPr>
    </xdr:pic>
    <xdr:clientData/>
  </xdr:twoCellAnchor>
  <xdr:twoCellAnchor editAs="oneCell">
    <xdr:from>
      <xdr:col>1</xdr:col>
      <xdr:colOff>95250</xdr:colOff>
      <xdr:row>71</xdr:row>
      <xdr:rowOff>85725</xdr:rowOff>
    </xdr:from>
    <xdr:to>
      <xdr:col>8</xdr:col>
      <xdr:colOff>704850</xdr:colOff>
      <xdr:row>84</xdr:row>
      <xdr:rowOff>133350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76200</xdr:colOff>
      <xdr:row>72</xdr:row>
      <xdr:rowOff>19050</xdr:rowOff>
    </xdr:from>
    <xdr:to>
      <xdr:col>15</xdr:col>
      <xdr:colOff>171450</xdr:colOff>
      <xdr:row>96</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73</xdr:row>
      <xdr:rowOff>0</xdr:rowOff>
    </xdr:from>
    <xdr:to>
      <xdr:col>14</xdr:col>
      <xdr:colOff>228600</xdr:colOff>
      <xdr:row>97</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47623</xdr:colOff>
      <xdr:row>32</xdr:row>
      <xdr:rowOff>47624</xdr:rowOff>
    </xdr:from>
    <xdr:to>
      <xdr:col>9</xdr:col>
      <xdr:colOff>474343</xdr:colOff>
      <xdr:row>50</xdr:row>
      <xdr:rowOff>79628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123825</xdr:colOff>
      <xdr:row>7</xdr:row>
      <xdr:rowOff>180974</xdr:rowOff>
    </xdr:from>
    <xdr:to>
      <xdr:col>9</xdr:col>
      <xdr:colOff>550545</xdr:colOff>
      <xdr:row>27</xdr:row>
      <xdr:rowOff>9524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14</xdr:col>
      <xdr:colOff>28575</xdr:colOff>
      <xdr:row>0</xdr:row>
      <xdr:rowOff>9523</xdr:rowOff>
    </xdr:from>
    <xdr:to>
      <xdr:col>14</xdr:col>
      <xdr:colOff>868919</xdr:colOff>
      <xdr:row>0</xdr:row>
      <xdr:rowOff>380165</xdr:rowOff>
    </xdr:to>
    <xdr:pic>
      <xdr:nvPicPr>
        <xdr:cNvPr id="10" name="Picture 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829925" y="9523"/>
          <a:ext cx="840344" cy="370642"/>
        </a:xfrm>
        <a:prstGeom prst="rect">
          <a:avLst/>
        </a:prstGeom>
      </xdr:spPr>
    </xdr:pic>
    <xdr:clientData/>
  </xdr:twoCellAnchor>
  <xdr:twoCellAnchor editAs="oneCell">
    <xdr:from>
      <xdr:col>0</xdr:col>
      <xdr:colOff>57150</xdr:colOff>
      <xdr:row>0</xdr:row>
      <xdr:rowOff>57150</xdr:rowOff>
    </xdr:from>
    <xdr:to>
      <xdr:col>0</xdr:col>
      <xdr:colOff>923978</xdr:colOff>
      <xdr:row>0</xdr:row>
      <xdr:rowOff>400050</xdr:rowOff>
    </xdr:to>
    <xdr:pic>
      <xdr:nvPicPr>
        <xdr:cNvPr id="7" name="Picture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7150" y="57150"/>
          <a:ext cx="866828" cy="34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ctive%20Projects\NC%20Rate%20Structures%20Surveys%20-%20Current%20Year%20SE\the%20EXCEL%20model\Calculating%20Monthly%20Bills%20v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ctive%20Projects\NC%20Rate%20Structures%20Surveys%20-%20Current%20Year%20SE\the%20EXCEL%20model\Calculating%20Monthly%20Bills%20v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sheetName val="callouts"/>
      <sheetName val="DATA_RESIDENTIAL"/>
      <sheetName val="DATA_COMMERCIAL"/>
      <sheetName val="DATA_IRRIGATION"/>
      <sheetName val="INPUT"/>
      <sheetName val="OUTPUT"/>
      <sheetName val="ALL"/>
      <sheetName val="CHANGE"/>
      <sheetName val="computation"/>
      <sheetName val="transition"/>
      <sheetName val="Base"/>
      <sheetName val="None Volumetric"/>
      <sheetName val="Uniform"/>
      <sheetName val="Uniform with Cap"/>
      <sheetName val="Seasonal"/>
      <sheetName val="Block"/>
      <sheetName val="Tiered Flat Fees"/>
      <sheetName val="Uniform at One Block Rate"/>
    </sheetNames>
    <sheetDataSet>
      <sheetData sheetId="0"/>
      <sheetData sheetId="1">
        <row r="1">
          <cell r="C1" t="str">
            <v>Inside</v>
          </cell>
          <cell r="E1" t="str">
            <v>Nonseasonal</v>
          </cell>
          <cell r="G1" t="str">
            <v>Water</v>
          </cell>
          <cell r="I1" t="str">
            <v>Standard</v>
          </cell>
          <cell r="K1" t="str">
            <v>1,000 gallons</v>
          </cell>
          <cell r="M1" t="str">
            <v>Residential</v>
          </cell>
        </row>
        <row r="2">
          <cell r="C2" t="str">
            <v>Outside (use Inside if none)</v>
          </cell>
          <cell r="E2" t="str">
            <v>Seasonal</v>
          </cell>
          <cell r="G2" t="str">
            <v>Sewer</v>
          </cell>
          <cell r="I2" t="str">
            <v>1/2"</v>
          </cell>
          <cell r="K2" t="str">
            <v>100 cf</v>
          </cell>
          <cell r="M2" t="str">
            <v>Commercial</v>
          </cell>
        </row>
        <row r="3">
          <cell r="C3" t="str">
            <v>Outside (do not use Inside)</v>
          </cell>
          <cell r="G3" t="str">
            <v>Combined</v>
          </cell>
          <cell r="I3" t="str">
            <v>5/8"</v>
          </cell>
        </row>
        <row r="4">
          <cell r="G4" t="str">
            <v>Residential Irrigation</v>
          </cell>
          <cell r="I4" t="str">
            <v>3/4"</v>
          </cell>
        </row>
        <row r="5">
          <cell r="I5" t="str">
            <v>1"</v>
          </cell>
        </row>
        <row r="6">
          <cell r="I6" t="str">
            <v>1-1/2"</v>
          </cell>
        </row>
        <row r="7">
          <cell r="I7" t="str">
            <v>2"</v>
          </cell>
        </row>
        <row r="8">
          <cell r="I8" t="str">
            <v>3"</v>
          </cell>
        </row>
        <row r="9">
          <cell r="I9" t="str">
            <v>4"</v>
          </cell>
        </row>
        <row r="10">
          <cell r="I10" t="str">
            <v>6"</v>
          </cell>
        </row>
        <row r="11">
          <cell r="I11" t="str">
            <v>8"</v>
          </cell>
        </row>
        <row r="12">
          <cell r="I12" t="str">
            <v>10"</v>
          </cell>
        </row>
        <row r="13">
          <cell r="I13" t="str">
            <v>Over 10"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sheetName val="callouts"/>
      <sheetName val="DATA_RESIDENTIAL"/>
      <sheetName val="DATA_COMMERCIAL"/>
      <sheetName val="DATA_IRRIGATION"/>
      <sheetName val="INPUT"/>
      <sheetName val="OUTPUT"/>
      <sheetName val="ALL"/>
      <sheetName val="CHANGE"/>
      <sheetName val="computation"/>
      <sheetName val="transition"/>
      <sheetName val="Base"/>
      <sheetName val="None Volumetric"/>
      <sheetName val="Uniform"/>
      <sheetName val="Uniform with Cap"/>
      <sheetName val="Seasonal"/>
      <sheetName val="Block"/>
      <sheetName val="Tiered Flat Fees"/>
      <sheetName val="Uniform at One Block Rate"/>
    </sheetNames>
    <sheetDataSet>
      <sheetData sheetId="0"/>
      <sheetData sheetId="1">
        <row r="1">
          <cell r="C1" t="str">
            <v>Inside</v>
          </cell>
          <cell r="E1" t="str">
            <v>Nonseasonal</v>
          </cell>
          <cell r="G1" t="str">
            <v>Water</v>
          </cell>
          <cell r="I1" t="str">
            <v>Standard</v>
          </cell>
          <cell r="M1" t="str">
            <v>Residential</v>
          </cell>
        </row>
        <row r="2">
          <cell r="C2" t="str">
            <v>Outside (use Inside if none)</v>
          </cell>
          <cell r="E2" t="str">
            <v>Seasonal</v>
          </cell>
          <cell r="G2" t="str">
            <v>Sewer</v>
          </cell>
          <cell r="I2" t="str">
            <v>1/2"</v>
          </cell>
          <cell r="M2" t="str">
            <v>Commercial</v>
          </cell>
        </row>
        <row r="3">
          <cell r="C3" t="str">
            <v>Outside (do not use Inside)</v>
          </cell>
          <cell r="G3" t="str">
            <v>Combined</v>
          </cell>
          <cell r="I3" t="str">
            <v>5/8"</v>
          </cell>
        </row>
        <row r="4">
          <cell r="G4" t="str">
            <v>Residential Irrigation</v>
          </cell>
          <cell r="I4" t="str">
            <v>3/4"</v>
          </cell>
        </row>
        <row r="5">
          <cell r="I5" t="str">
            <v>1"</v>
          </cell>
        </row>
        <row r="6">
          <cell r="I6" t="str">
            <v>1-1/2"</v>
          </cell>
        </row>
        <row r="7">
          <cell r="I7" t="str">
            <v>2"</v>
          </cell>
        </row>
        <row r="8">
          <cell r="I8" t="str">
            <v>3"</v>
          </cell>
        </row>
        <row r="9">
          <cell r="I9" t="str">
            <v>4"</v>
          </cell>
        </row>
        <row r="10">
          <cell r="I10" t="str">
            <v>6"</v>
          </cell>
        </row>
        <row r="11">
          <cell r="I11" t="str">
            <v>8"</v>
          </cell>
        </row>
        <row r="12">
          <cell r="I12" t="str">
            <v>10"</v>
          </cell>
        </row>
        <row r="13">
          <cell r="I13" t="str">
            <v>Over 10"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waterrf.or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http://gis.ncdc.noaa.gov/map/viewer/"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workbookViewId="0">
      <selection activeCell="C10" sqref="C10"/>
    </sheetView>
  </sheetViews>
  <sheetFormatPr defaultRowHeight="12.75"/>
  <cols>
    <col min="1" max="1" width="13.5703125" style="9" bestFit="1" customWidth="1"/>
    <col min="2" max="2" width="13.5703125" style="9" customWidth="1"/>
    <col min="3" max="3" width="9.140625" style="9"/>
    <col min="4" max="4" width="15.85546875" style="9" bestFit="1" customWidth="1"/>
    <col min="5" max="5" width="15.85546875" style="9" customWidth="1"/>
    <col min="6" max="6" width="5" style="9" bestFit="1" customWidth="1"/>
    <col min="7" max="7" width="48.85546875" style="9" bestFit="1" customWidth="1"/>
    <col min="8" max="8" width="45.5703125" style="9" bestFit="1" customWidth="1"/>
    <col min="9" max="10" width="9.140625" style="9"/>
    <col min="11" max="11" width="11" style="9" customWidth="1"/>
    <col min="12" max="16384" width="9.140625" style="9"/>
  </cols>
  <sheetData>
    <row r="1" spans="1:14">
      <c r="A1" s="8" t="s">
        <v>7</v>
      </c>
      <c r="B1" s="8"/>
      <c r="D1" s="8" t="s">
        <v>10</v>
      </c>
      <c r="E1" s="8"/>
      <c r="F1" s="10" t="s">
        <v>14</v>
      </c>
      <c r="G1" s="9" t="s">
        <v>30</v>
      </c>
      <c r="H1" s="9" t="s">
        <v>32</v>
      </c>
      <c r="J1" s="9" t="s">
        <v>34</v>
      </c>
      <c r="K1" s="9" t="s">
        <v>35</v>
      </c>
      <c r="L1" s="9" t="s">
        <v>36</v>
      </c>
      <c r="N1" s="9" t="s">
        <v>296</v>
      </c>
    </row>
    <row r="2" spans="1:14">
      <c r="A2" s="9" t="s">
        <v>8</v>
      </c>
      <c r="B2" s="11" t="s">
        <v>16</v>
      </c>
      <c r="D2" s="9" t="s">
        <v>12</v>
      </c>
      <c r="E2" s="9" t="s">
        <v>3</v>
      </c>
      <c r="F2" s="9">
        <v>1000</v>
      </c>
      <c r="G2" s="9">
        <v>1</v>
      </c>
      <c r="H2" s="10">
        <v>1</v>
      </c>
      <c r="J2" s="9">
        <v>0</v>
      </c>
      <c r="K2" s="12">
        <f>J2*100/748</f>
        <v>0</v>
      </c>
      <c r="L2" s="13">
        <f>J2/325851.429</f>
        <v>0</v>
      </c>
      <c r="N2" s="9" t="s">
        <v>297</v>
      </c>
    </row>
    <row r="3" spans="1:14">
      <c r="A3" s="9" t="s">
        <v>8</v>
      </c>
      <c r="B3" s="11" t="s">
        <v>16</v>
      </c>
      <c r="D3" s="9" t="s">
        <v>12</v>
      </c>
      <c r="E3" s="9" t="s">
        <v>3</v>
      </c>
      <c r="F3" s="9">
        <v>1000</v>
      </c>
      <c r="G3" s="9">
        <v>1</v>
      </c>
      <c r="H3" s="10">
        <f>1/G3</f>
        <v>1</v>
      </c>
      <c r="J3" s="9">
        <v>1000</v>
      </c>
      <c r="K3" s="12">
        <f t="shared" ref="K3:K32" si="0">J3*100/748</f>
        <v>133.68983957219251</v>
      </c>
      <c r="L3" s="13">
        <f t="shared" ref="L3:L32" si="1">J3/325851.429</f>
        <v>3.0688832731803057E-3</v>
      </c>
    </row>
    <row r="4" spans="1:14">
      <c r="D4" s="9" t="s">
        <v>12</v>
      </c>
      <c r="E4" s="9" t="s">
        <v>3</v>
      </c>
      <c r="F4" s="9">
        <v>1000</v>
      </c>
      <c r="G4" s="9">
        <v>1</v>
      </c>
      <c r="H4" s="10">
        <f>1/G4</f>
        <v>1</v>
      </c>
      <c r="J4" s="9">
        <v>2000</v>
      </c>
      <c r="K4" s="12">
        <f t="shared" si="0"/>
        <v>267.37967914438502</v>
      </c>
      <c r="L4" s="13">
        <f t="shared" si="1"/>
        <v>6.1377665463606115E-3</v>
      </c>
    </row>
    <row r="5" spans="1:14">
      <c r="J5" s="9">
        <v>3000</v>
      </c>
      <c r="K5" s="12">
        <f t="shared" si="0"/>
        <v>401.06951871657753</v>
      </c>
      <c r="L5" s="13">
        <f t="shared" si="1"/>
        <v>9.2066498195409168E-3</v>
      </c>
    </row>
    <row r="6" spans="1:14">
      <c r="G6" s="10" t="s">
        <v>31</v>
      </c>
      <c r="H6" s="10" t="s">
        <v>33</v>
      </c>
      <c r="J6" s="9">
        <v>4000</v>
      </c>
      <c r="K6" s="12">
        <f t="shared" si="0"/>
        <v>534.75935828877004</v>
      </c>
      <c r="L6" s="13">
        <f t="shared" si="1"/>
        <v>1.2275533092721223E-2</v>
      </c>
    </row>
    <row r="7" spans="1:14">
      <c r="G7" s="10">
        <f>1*G2/1000</f>
        <v>1E-3</v>
      </c>
      <c r="H7" s="10">
        <f>1000*H2</f>
        <v>1000</v>
      </c>
      <c r="J7" s="9">
        <v>5000</v>
      </c>
      <c r="K7" s="12">
        <f t="shared" si="0"/>
        <v>668.44919786096261</v>
      </c>
      <c r="L7" s="13">
        <f t="shared" si="1"/>
        <v>1.5344416365901529E-2</v>
      </c>
    </row>
    <row r="8" spans="1:14">
      <c r="A8" s="9" t="s">
        <v>8</v>
      </c>
      <c r="B8" s="11" t="s">
        <v>16</v>
      </c>
      <c r="G8" s="10">
        <f>1*G3/1000</f>
        <v>1E-3</v>
      </c>
      <c r="H8" s="10">
        <f>1000*H3</f>
        <v>1000</v>
      </c>
      <c r="J8" s="9">
        <v>6000</v>
      </c>
      <c r="K8" s="12">
        <f t="shared" si="0"/>
        <v>802.13903743315507</v>
      </c>
      <c r="L8" s="13">
        <f t="shared" si="1"/>
        <v>1.8413299639081834E-2</v>
      </c>
    </row>
    <row r="9" spans="1:14">
      <c r="A9" s="9" t="s">
        <v>9</v>
      </c>
      <c r="B9" s="11" t="s">
        <v>17</v>
      </c>
      <c r="G9" s="10">
        <f>1*G4/1000</f>
        <v>1E-3</v>
      </c>
      <c r="H9" s="10">
        <f>1000*H4</f>
        <v>1000</v>
      </c>
      <c r="J9" s="9">
        <v>7000</v>
      </c>
      <c r="K9" s="12">
        <f t="shared" si="0"/>
        <v>935.82887700534764</v>
      </c>
      <c r="L9" s="13">
        <f t="shared" si="1"/>
        <v>2.148218291226214E-2</v>
      </c>
    </row>
    <row r="10" spans="1:14">
      <c r="J10" s="9">
        <v>8000</v>
      </c>
      <c r="K10" s="12">
        <f t="shared" si="0"/>
        <v>1069.5187165775401</v>
      </c>
      <c r="L10" s="13">
        <f t="shared" si="1"/>
        <v>2.4551066185442446E-2</v>
      </c>
    </row>
    <row r="11" spans="1:14">
      <c r="J11" s="9">
        <v>9000</v>
      </c>
      <c r="K11" s="12">
        <f t="shared" si="0"/>
        <v>1203.2085561497327</v>
      </c>
      <c r="L11" s="13">
        <f t="shared" si="1"/>
        <v>2.7619949458622752E-2</v>
      </c>
    </row>
    <row r="12" spans="1:14">
      <c r="G12" s="10"/>
      <c r="H12" s="10" t="s">
        <v>15</v>
      </c>
      <c r="J12" s="9">
        <v>10000</v>
      </c>
      <c r="K12" s="12">
        <f t="shared" si="0"/>
        <v>1336.8983957219252</v>
      </c>
      <c r="L12" s="13">
        <f t="shared" si="1"/>
        <v>3.0688832731803058E-2</v>
      </c>
    </row>
    <row r="13" spans="1:14">
      <c r="G13" s="10"/>
      <c r="H13" s="10">
        <f>5*H2</f>
        <v>5</v>
      </c>
      <c r="J13" s="9">
        <v>11000</v>
      </c>
      <c r="K13" s="12">
        <f t="shared" si="0"/>
        <v>1470.5882352941176</v>
      </c>
      <c r="L13" s="13">
        <f t="shared" si="1"/>
        <v>3.3757716004983361E-2</v>
      </c>
    </row>
    <row r="14" spans="1:14">
      <c r="G14" s="10"/>
      <c r="H14" s="10">
        <f>5*H3</f>
        <v>5</v>
      </c>
      <c r="J14" s="9">
        <v>12000</v>
      </c>
      <c r="K14" s="12">
        <f t="shared" si="0"/>
        <v>1604.2780748663101</v>
      </c>
      <c r="L14" s="13">
        <f t="shared" si="1"/>
        <v>3.6826599278163667E-2</v>
      </c>
    </row>
    <row r="15" spans="1:14">
      <c r="G15" s="10"/>
      <c r="H15" s="10">
        <f>5*H4</f>
        <v>5</v>
      </c>
      <c r="J15" s="9">
        <v>13000</v>
      </c>
      <c r="K15" s="12">
        <f t="shared" si="0"/>
        <v>1737.9679144385027</v>
      </c>
      <c r="L15" s="13">
        <f t="shared" si="1"/>
        <v>3.9895482551343973E-2</v>
      </c>
    </row>
    <row r="16" spans="1:14">
      <c r="G16" s="10"/>
      <c r="H16" s="10"/>
      <c r="J16" s="9">
        <v>14000</v>
      </c>
      <c r="K16" s="12">
        <f t="shared" si="0"/>
        <v>1871.6577540106953</v>
      </c>
      <c r="L16" s="13">
        <f t="shared" si="1"/>
        <v>4.296436582452428E-2</v>
      </c>
    </row>
    <row r="17" spans="4:12">
      <c r="J17" s="9">
        <v>15000</v>
      </c>
      <c r="K17" s="12">
        <f t="shared" si="0"/>
        <v>2005.3475935828876</v>
      </c>
      <c r="L17" s="13">
        <f t="shared" si="1"/>
        <v>4.6033249097704586E-2</v>
      </c>
    </row>
    <row r="18" spans="4:12">
      <c r="J18" s="9">
        <v>16000</v>
      </c>
      <c r="K18" s="12">
        <f t="shared" si="0"/>
        <v>2139.0374331550802</v>
      </c>
      <c r="L18" s="13">
        <f t="shared" si="1"/>
        <v>4.9102132370884892E-2</v>
      </c>
    </row>
    <row r="19" spans="4:12">
      <c r="J19" s="9">
        <v>17000</v>
      </c>
      <c r="K19" s="12">
        <f t="shared" si="0"/>
        <v>2272.7272727272725</v>
      </c>
      <c r="L19" s="13">
        <f t="shared" si="1"/>
        <v>5.2171015644065198E-2</v>
      </c>
    </row>
    <row r="20" spans="4:12">
      <c r="D20" s="9" t="s">
        <v>12</v>
      </c>
      <c r="E20" s="9" t="s">
        <v>3</v>
      </c>
      <c r="F20" s="9">
        <v>1000</v>
      </c>
      <c r="G20" s="9">
        <v>1</v>
      </c>
      <c r="H20" s="10">
        <v>1</v>
      </c>
      <c r="J20" s="9">
        <v>18000</v>
      </c>
      <c r="K20" s="12">
        <f t="shared" si="0"/>
        <v>2406.4171122994653</v>
      </c>
      <c r="L20" s="13">
        <f t="shared" si="1"/>
        <v>5.5239898917245504E-2</v>
      </c>
    </row>
    <row r="21" spans="4:12">
      <c r="D21" s="9" t="s">
        <v>11</v>
      </c>
      <c r="E21" s="9" t="s">
        <v>2</v>
      </c>
      <c r="F21" s="9">
        <v>100</v>
      </c>
      <c r="G21" s="9">
        <v>7.48</v>
      </c>
      <c r="H21" s="10">
        <f>1/G21</f>
        <v>0.13368983957219249</v>
      </c>
      <c r="J21" s="9">
        <v>19000</v>
      </c>
      <c r="K21" s="12">
        <f t="shared" si="0"/>
        <v>2540.1069518716577</v>
      </c>
      <c r="L21" s="13">
        <f t="shared" si="1"/>
        <v>5.8308782190425811E-2</v>
      </c>
    </row>
    <row r="22" spans="4:12">
      <c r="D22" s="9" t="s">
        <v>13</v>
      </c>
      <c r="E22" s="9" t="s">
        <v>29</v>
      </c>
      <c r="F22" s="9">
        <v>1</v>
      </c>
      <c r="G22" s="9">
        <v>325851.429</v>
      </c>
      <c r="H22" s="10">
        <f>1/G22</f>
        <v>3.0688832731803055E-6</v>
      </c>
      <c r="J22" s="9">
        <v>20000</v>
      </c>
      <c r="K22" s="12">
        <f t="shared" si="0"/>
        <v>2673.7967914438505</v>
      </c>
      <c r="L22" s="13">
        <f t="shared" si="1"/>
        <v>6.1377665463606117E-2</v>
      </c>
    </row>
    <row r="23" spans="4:12">
      <c r="J23" s="9">
        <v>21000</v>
      </c>
      <c r="K23" s="12">
        <f t="shared" si="0"/>
        <v>2807.4866310160428</v>
      </c>
      <c r="L23" s="13">
        <f t="shared" si="1"/>
        <v>6.4446548736786416E-2</v>
      </c>
    </row>
    <row r="24" spans="4:12">
      <c r="G24" s="10" t="s">
        <v>31</v>
      </c>
      <c r="H24" s="10" t="s">
        <v>33</v>
      </c>
      <c r="J24" s="9">
        <v>22000</v>
      </c>
      <c r="K24" s="12">
        <f t="shared" si="0"/>
        <v>2941.1764705882351</v>
      </c>
      <c r="L24" s="13">
        <f t="shared" si="1"/>
        <v>6.7515432009966722E-2</v>
      </c>
    </row>
    <row r="25" spans="4:12">
      <c r="G25" s="10">
        <f>1*G20/1000</f>
        <v>1E-3</v>
      </c>
      <c r="H25" s="10">
        <f>1000*H20</f>
        <v>1000</v>
      </c>
      <c r="J25" s="9">
        <v>23000</v>
      </c>
      <c r="K25" s="12">
        <f t="shared" si="0"/>
        <v>3074.8663101604279</v>
      </c>
      <c r="L25" s="13">
        <f t="shared" si="1"/>
        <v>7.0584315283147028E-2</v>
      </c>
    </row>
    <row r="26" spans="4:12">
      <c r="G26" s="10">
        <f>1*G21/1000</f>
        <v>7.4800000000000005E-3</v>
      </c>
      <c r="H26" s="10">
        <f>1000*H21</f>
        <v>133.68983957219248</v>
      </c>
      <c r="J26" s="9">
        <v>24000</v>
      </c>
      <c r="K26" s="12">
        <f t="shared" si="0"/>
        <v>3208.5561497326203</v>
      </c>
      <c r="L26" s="13">
        <f t="shared" si="1"/>
        <v>7.3653198556327334E-2</v>
      </c>
    </row>
    <row r="27" spans="4:12">
      <c r="G27" s="10">
        <f>1*G22/1000</f>
        <v>325.851429</v>
      </c>
      <c r="H27" s="10">
        <f>1000*H22</f>
        <v>3.0688832731803053E-3</v>
      </c>
      <c r="J27" s="9">
        <v>25000</v>
      </c>
      <c r="K27" s="12">
        <f t="shared" si="0"/>
        <v>3342.2459893048126</v>
      </c>
      <c r="L27" s="13">
        <f t="shared" si="1"/>
        <v>7.6722081829507641E-2</v>
      </c>
    </row>
    <row r="28" spans="4:12">
      <c r="J28" s="9">
        <v>26000</v>
      </c>
      <c r="K28" s="12">
        <f t="shared" si="0"/>
        <v>3475.9358288770054</v>
      </c>
      <c r="L28" s="13">
        <f t="shared" si="1"/>
        <v>7.9790965102687947E-2</v>
      </c>
    </row>
    <row r="29" spans="4:12">
      <c r="J29" s="9">
        <v>27000</v>
      </c>
      <c r="K29" s="12">
        <f t="shared" si="0"/>
        <v>3609.6256684491977</v>
      </c>
      <c r="L29" s="13">
        <f t="shared" si="1"/>
        <v>8.2859848375868253E-2</v>
      </c>
    </row>
    <row r="30" spans="4:12">
      <c r="G30" s="10"/>
      <c r="H30" s="10" t="s">
        <v>15</v>
      </c>
      <c r="J30" s="9">
        <v>28000</v>
      </c>
      <c r="K30" s="12">
        <f t="shared" si="0"/>
        <v>3743.3155080213905</v>
      </c>
      <c r="L30" s="13">
        <f t="shared" si="1"/>
        <v>8.5928731649048559E-2</v>
      </c>
    </row>
    <row r="31" spans="4:12">
      <c r="G31" s="10"/>
      <c r="H31" s="10">
        <f>5*H20</f>
        <v>5</v>
      </c>
      <c r="J31" s="9">
        <v>29000</v>
      </c>
      <c r="K31" s="12">
        <f t="shared" si="0"/>
        <v>3877.0053475935829</v>
      </c>
      <c r="L31" s="13">
        <f t="shared" si="1"/>
        <v>8.8997614922228865E-2</v>
      </c>
    </row>
    <row r="32" spans="4:12">
      <c r="G32" s="10"/>
      <c r="H32" s="10">
        <f>5*H21</f>
        <v>0.66844919786096246</v>
      </c>
      <c r="J32" s="9">
        <v>30000</v>
      </c>
      <c r="K32" s="12">
        <f t="shared" si="0"/>
        <v>4010.6951871657752</v>
      </c>
      <c r="L32" s="13">
        <f t="shared" si="1"/>
        <v>9.2066498195409172E-2</v>
      </c>
    </row>
    <row r="33" spans="7:8">
      <c r="G33" s="10"/>
      <c r="H33" s="10">
        <f>5*H22</f>
        <v>1.5344416365901528E-5</v>
      </c>
    </row>
  </sheetData>
  <sheetProtection password="EB90" sheet="1" objects="1" scenarios="1" selectLockedCells="1" selectUn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47"/>
  <sheetViews>
    <sheetView showGridLines="0" tabSelected="1" zoomScaleNormal="100" workbookViewId="0">
      <pane ySplit="2" topLeftCell="A3" activePane="bottomLeft" state="frozen"/>
      <selection activeCell="O5" sqref="O5"/>
      <selection pane="bottomLeft" activeCell="A3" sqref="A3"/>
    </sheetView>
  </sheetViews>
  <sheetFormatPr defaultRowHeight="12.75"/>
  <sheetData>
    <row r="1" spans="1:19" s="22" customFormat="1" ht="37.5" customHeight="1">
      <c r="A1" s="27"/>
      <c r="B1" s="28"/>
      <c r="C1" s="952" t="s">
        <v>378</v>
      </c>
      <c r="D1" s="952"/>
      <c r="E1" s="952"/>
      <c r="F1" s="952"/>
      <c r="G1" s="952"/>
      <c r="H1" s="952"/>
      <c r="I1" s="952"/>
      <c r="J1" s="952"/>
      <c r="K1" s="952"/>
      <c r="L1" s="952"/>
      <c r="M1" s="952"/>
      <c r="N1" s="952"/>
      <c r="O1" s="952"/>
      <c r="P1" s="952"/>
      <c r="Q1" s="952"/>
      <c r="R1" s="28"/>
      <c r="S1" s="28"/>
    </row>
    <row r="2" spans="1:19" ht="24">
      <c r="B2" s="32"/>
      <c r="C2" s="954" t="s">
        <v>328</v>
      </c>
      <c r="D2" s="954"/>
      <c r="E2" s="954"/>
      <c r="F2" s="954"/>
      <c r="G2" s="954"/>
      <c r="H2" s="954"/>
      <c r="I2" s="954"/>
      <c r="J2" s="954"/>
      <c r="K2" s="954"/>
      <c r="L2" s="954"/>
      <c r="M2" s="954"/>
      <c r="N2" s="954"/>
      <c r="O2" s="954"/>
      <c r="P2" s="954"/>
      <c r="Q2" s="954"/>
      <c r="R2" s="32"/>
      <c r="S2" s="32"/>
    </row>
    <row r="3" spans="1:19">
      <c r="A3" s="27"/>
      <c r="B3" s="27"/>
      <c r="C3" s="27"/>
      <c r="D3" s="27"/>
      <c r="E3" s="27"/>
      <c r="F3" s="27"/>
      <c r="G3" s="27"/>
      <c r="H3" s="27"/>
      <c r="I3" s="27"/>
      <c r="J3" s="27"/>
      <c r="K3" s="27"/>
      <c r="L3" s="27"/>
      <c r="M3" s="27"/>
      <c r="N3" s="27"/>
      <c r="O3" s="27"/>
      <c r="P3" s="27"/>
      <c r="Q3" s="27"/>
      <c r="R3" s="27"/>
      <c r="S3" s="27"/>
    </row>
    <row r="4" spans="1:19">
      <c r="A4" s="27"/>
      <c r="B4" s="27"/>
      <c r="C4" s="27"/>
      <c r="D4" s="27"/>
      <c r="E4" s="27"/>
      <c r="F4" s="27"/>
      <c r="G4" s="27"/>
      <c r="H4" s="27"/>
      <c r="I4" s="27"/>
      <c r="J4" s="27"/>
      <c r="K4" s="27"/>
      <c r="L4" s="27"/>
      <c r="M4" s="27"/>
      <c r="N4" s="27"/>
      <c r="O4" s="27"/>
      <c r="P4" s="27"/>
      <c r="Q4" s="27"/>
      <c r="R4" s="27"/>
      <c r="S4" s="27"/>
    </row>
    <row r="5" spans="1:19">
      <c r="A5" s="27"/>
      <c r="B5" s="27"/>
      <c r="C5" s="27"/>
      <c r="D5" s="27"/>
      <c r="E5" s="27"/>
      <c r="F5" s="27"/>
      <c r="G5" s="27"/>
      <c r="H5" s="27"/>
      <c r="I5" s="27"/>
      <c r="J5" s="27"/>
      <c r="K5" s="27"/>
      <c r="L5" s="27"/>
      <c r="M5" s="27"/>
      <c r="N5" s="27"/>
      <c r="O5" s="27"/>
      <c r="P5" s="27"/>
      <c r="Q5" s="27"/>
      <c r="R5" s="27"/>
      <c r="S5" s="27"/>
    </row>
    <row r="6" spans="1:19">
      <c r="A6" s="27"/>
      <c r="B6" s="27"/>
      <c r="C6" s="29"/>
      <c r="D6" s="27"/>
      <c r="E6" s="27"/>
      <c r="F6" s="27"/>
      <c r="G6" s="27"/>
      <c r="H6" s="27"/>
      <c r="I6" s="27"/>
      <c r="J6" s="27"/>
      <c r="K6" s="27"/>
      <c r="L6" s="27"/>
      <c r="M6" s="27"/>
      <c r="N6" s="27"/>
      <c r="O6" s="27"/>
      <c r="P6" s="27"/>
      <c r="Q6" s="27"/>
      <c r="R6" s="27"/>
      <c r="S6" s="27"/>
    </row>
    <row r="7" spans="1:19">
      <c r="A7" s="27"/>
      <c r="B7" s="27"/>
      <c r="C7" s="29"/>
      <c r="D7" s="27"/>
      <c r="E7" s="27"/>
      <c r="F7" s="27"/>
      <c r="G7" s="27"/>
      <c r="H7" s="27"/>
      <c r="I7" s="27"/>
      <c r="J7" s="27"/>
      <c r="K7" s="27"/>
      <c r="L7" s="27"/>
      <c r="M7" s="27"/>
      <c r="N7" s="27"/>
      <c r="O7" s="27"/>
      <c r="P7" s="27"/>
      <c r="Q7" s="27"/>
      <c r="R7" s="27"/>
      <c r="S7" s="27"/>
    </row>
    <row r="8" spans="1:19">
      <c r="A8" s="27"/>
      <c r="B8" s="27"/>
      <c r="C8" s="27"/>
      <c r="D8" s="27"/>
      <c r="E8" s="27"/>
      <c r="F8" s="27"/>
      <c r="G8" s="27"/>
      <c r="H8" s="27"/>
      <c r="I8" s="27"/>
      <c r="J8" s="27"/>
      <c r="K8" s="27"/>
      <c r="L8" s="27"/>
      <c r="M8" s="27"/>
      <c r="N8" s="27"/>
      <c r="O8" s="27"/>
      <c r="P8" s="27"/>
      <c r="Q8" s="27"/>
      <c r="R8" s="27"/>
      <c r="S8" s="27"/>
    </row>
    <row r="9" spans="1:19">
      <c r="A9" s="27"/>
      <c r="B9" s="27"/>
      <c r="C9" s="27"/>
      <c r="D9" s="27"/>
      <c r="E9" s="27"/>
      <c r="F9" s="27"/>
      <c r="G9" s="27"/>
      <c r="H9" s="27"/>
      <c r="I9" s="27"/>
      <c r="J9" s="27"/>
      <c r="K9" s="27"/>
      <c r="L9" s="27"/>
      <c r="M9" s="27"/>
      <c r="N9" s="27"/>
      <c r="O9" s="27"/>
      <c r="P9" s="27"/>
      <c r="Q9" s="27"/>
      <c r="R9" s="27"/>
      <c r="S9" s="27"/>
    </row>
    <row r="10" spans="1:19">
      <c r="A10" s="27"/>
      <c r="B10" s="27"/>
      <c r="C10" s="27"/>
      <c r="D10" s="27"/>
      <c r="E10" s="27"/>
      <c r="F10" s="27"/>
      <c r="G10" s="27"/>
      <c r="H10" s="27"/>
      <c r="I10" s="27"/>
      <c r="J10" s="27"/>
      <c r="K10" s="27"/>
      <c r="L10" s="27"/>
      <c r="M10" s="27"/>
      <c r="N10" s="27"/>
      <c r="O10" s="27"/>
      <c r="P10" s="27"/>
      <c r="Q10" s="27"/>
      <c r="R10" s="27"/>
      <c r="S10" s="27"/>
    </row>
    <row r="11" spans="1:19" ht="27.75">
      <c r="A11" s="27"/>
      <c r="B11" s="27"/>
      <c r="C11" s="952" t="s">
        <v>381</v>
      </c>
      <c r="D11" s="952"/>
      <c r="E11" s="952"/>
      <c r="F11" s="952"/>
      <c r="G11" s="952"/>
      <c r="H11" s="952"/>
      <c r="I11" s="952"/>
      <c r="J11" s="952"/>
      <c r="K11" s="952"/>
      <c r="L11" s="952"/>
      <c r="M11" s="952"/>
      <c r="N11" s="952"/>
      <c r="O11" s="952"/>
      <c r="P11" s="952"/>
      <c r="Q11" s="952"/>
      <c r="R11" s="27"/>
      <c r="S11" s="27"/>
    </row>
    <row r="12" spans="1:19" ht="18">
      <c r="A12" s="27"/>
      <c r="B12" s="27"/>
      <c r="C12" s="965" t="s">
        <v>382</v>
      </c>
      <c r="D12" s="965"/>
      <c r="E12" s="965"/>
      <c r="F12" s="965"/>
      <c r="G12" s="965"/>
      <c r="H12" s="965"/>
      <c r="I12" s="965"/>
      <c r="J12" s="965"/>
      <c r="K12" s="965"/>
      <c r="L12" s="965"/>
      <c r="M12" s="965"/>
      <c r="N12" s="965"/>
      <c r="O12" s="965"/>
      <c r="P12" s="965"/>
      <c r="Q12" s="965"/>
      <c r="R12" s="27"/>
      <c r="S12" s="27"/>
    </row>
    <row r="13" spans="1:19" ht="18.75">
      <c r="A13" s="27"/>
      <c r="B13" s="27"/>
      <c r="C13" s="491"/>
      <c r="D13" s="492"/>
      <c r="E13" s="492"/>
      <c r="F13" s="492"/>
      <c r="G13" s="492"/>
      <c r="H13" s="492"/>
      <c r="I13" s="492"/>
      <c r="J13" s="492"/>
      <c r="K13" s="492"/>
      <c r="L13" s="492"/>
      <c r="M13" s="492"/>
      <c r="N13" s="492"/>
      <c r="O13" s="492"/>
      <c r="P13" s="492"/>
      <c r="Q13" s="492"/>
      <c r="R13" s="27"/>
      <c r="S13" s="27"/>
    </row>
    <row r="14" spans="1:19" ht="18">
      <c r="A14" s="27"/>
      <c r="B14" s="27"/>
      <c r="C14" s="490" t="s">
        <v>375</v>
      </c>
      <c r="D14" s="21"/>
      <c r="E14" s="21"/>
      <c r="F14" s="21"/>
      <c r="G14" s="21"/>
      <c r="H14" s="21"/>
      <c r="I14" s="21"/>
      <c r="J14" s="21"/>
      <c r="K14" s="21"/>
      <c r="L14" s="21"/>
      <c r="M14" s="21"/>
      <c r="N14" s="21"/>
      <c r="O14" s="21"/>
      <c r="P14" s="21"/>
      <c r="Q14" s="21"/>
      <c r="R14" s="27"/>
      <c r="S14" s="27"/>
    </row>
    <row r="15" spans="1:19" ht="18">
      <c r="A15" s="27"/>
      <c r="B15" s="27"/>
      <c r="C15" s="490" t="s">
        <v>376</v>
      </c>
      <c r="D15" s="21"/>
      <c r="E15" s="21"/>
      <c r="F15" s="21"/>
      <c r="G15" s="21"/>
      <c r="H15" s="21"/>
      <c r="I15" s="21"/>
      <c r="J15" s="21"/>
      <c r="K15" s="21"/>
      <c r="L15" s="21"/>
      <c r="M15" s="21"/>
      <c r="N15" s="21"/>
      <c r="O15" s="21"/>
      <c r="P15" s="21"/>
      <c r="Q15" s="21"/>
      <c r="R15" s="27"/>
      <c r="S15" s="27"/>
    </row>
    <row r="16" spans="1:19" ht="13.5" thickBot="1">
      <c r="A16" s="27"/>
      <c r="B16" s="27"/>
      <c r="C16" s="27"/>
      <c r="D16" s="27"/>
      <c r="E16" s="27"/>
      <c r="F16" s="27"/>
      <c r="G16" s="27"/>
      <c r="H16" s="27"/>
      <c r="I16" s="27"/>
      <c r="J16" s="27"/>
      <c r="K16" s="27"/>
      <c r="L16" s="27"/>
      <c r="M16" s="27"/>
      <c r="N16" s="27"/>
      <c r="O16" s="27"/>
      <c r="P16" s="27"/>
      <c r="Q16" s="27"/>
      <c r="R16" s="27"/>
      <c r="S16" s="27"/>
    </row>
    <row r="17" spans="1:19" ht="14.25" customHeight="1">
      <c r="A17" s="27"/>
      <c r="B17" s="27"/>
      <c r="C17" s="955" t="s">
        <v>330</v>
      </c>
      <c r="D17" s="956"/>
      <c r="E17" s="956"/>
      <c r="F17" s="956"/>
      <c r="G17" s="956"/>
      <c r="H17" s="956"/>
      <c r="I17" s="956"/>
      <c r="J17" s="956"/>
      <c r="K17" s="956"/>
      <c r="L17" s="956"/>
      <c r="M17" s="956"/>
      <c r="N17" s="956"/>
      <c r="O17" s="956"/>
      <c r="P17" s="956"/>
      <c r="Q17" s="957"/>
      <c r="R17" s="27"/>
      <c r="S17" s="27"/>
    </row>
    <row r="18" spans="1:19" ht="14.25" customHeight="1">
      <c r="A18" s="27"/>
      <c r="B18" s="27"/>
      <c r="C18" s="958"/>
      <c r="D18" s="959"/>
      <c r="E18" s="959"/>
      <c r="F18" s="959"/>
      <c r="G18" s="959"/>
      <c r="H18" s="959"/>
      <c r="I18" s="959"/>
      <c r="J18" s="959"/>
      <c r="K18" s="959"/>
      <c r="L18" s="959"/>
      <c r="M18" s="959"/>
      <c r="N18" s="959"/>
      <c r="O18" s="959"/>
      <c r="P18" s="959"/>
      <c r="Q18" s="960"/>
      <c r="R18" s="27"/>
      <c r="S18" s="27"/>
    </row>
    <row r="19" spans="1:19" ht="14.25" customHeight="1">
      <c r="A19" s="27"/>
      <c r="B19" s="27"/>
      <c r="C19" s="958"/>
      <c r="D19" s="959"/>
      <c r="E19" s="959"/>
      <c r="F19" s="959"/>
      <c r="G19" s="959"/>
      <c r="H19" s="959"/>
      <c r="I19" s="959"/>
      <c r="J19" s="959"/>
      <c r="K19" s="959"/>
      <c r="L19" s="959"/>
      <c r="M19" s="959"/>
      <c r="N19" s="959"/>
      <c r="O19" s="959"/>
      <c r="P19" s="959"/>
      <c r="Q19" s="960"/>
      <c r="R19" s="27"/>
      <c r="S19" s="27"/>
    </row>
    <row r="20" spans="1:19" ht="14.25" customHeight="1">
      <c r="A20" s="27"/>
      <c r="B20" s="27"/>
      <c r="C20" s="958"/>
      <c r="D20" s="959"/>
      <c r="E20" s="959"/>
      <c r="F20" s="959"/>
      <c r="G20" s="959"/>
      <c r="H20" s="959"/>
      <c r="I20" s="959"/>
      <c r="J20" s="959"/>
      <c r="K20" s="959"/>
      <c r="L20" s="959"/>
      <c r="M20" s="959"/>
      <c r="N20" s="959"/>
      <c r="O20" s="959"/>
      <c r="P20" s="959"/>
      <c r="Q20" s="960"/>
      <c r="R20" s="27"/>
      <c r="S20" s="27"/>
    </row>
    <row r="21" spans="1:19" ht="14.25" customHeight="1">
      <c r="A21" s="27"/>
      <c r="B21" s="27"/>
      <c r="C21" s="958"/>
      <c r="D21" s="959"/>
      <c r="E21" s="959"/>
      <c r="F21" s="959"/>
      <c r="G21" s="959"/>
      <c r="H21" s="959"/>
      <c r="I21" s="959"/>
      <c r="J21" s="959"/>
      <c r="K21" s="959"/>
      <c r="L21" s="959"/>
      <c r="M21" s="959"/>
      <c r="N21" s="959"/>
      <c r="O21" s="959"/>
      <c r="P21" s="959"/>
      <c r="Q21" s="960"/>
      <c r="R21" s="27"/>
      <c r="S21" s="27"/>
    </row>
    <row r="22" spans="1:19" ht="14.25" customHeight="1">
      <c r="A22" s="27"/>
      <c r="B22" s="27"/>
      <c r="C22" s="958"/>
      <c r="D22" s="959"/>
      <c r="E22" s="959"/>
      <c r="F22" s="959"/>
      <c r="G22" s="959"/>
      <c r="H22" s="959"/>
      <c r="I22" s="959"/>
      <c r="J22" s="959"/>
      <c r="K22" s="959"/>
      <c r="L22" s="959"/>
      <c r="M22" s="959"/>
      <c r="N22" s="959"/>
      <c r="O22" s="959"/>
      <c r="P22" s="959"/>
      <c r="Q22" s="960"/>
      <c r="R22" s="27"/>
      <c r="S22" s="27"/>
    </row>
    <row r="23" spans="1:19" ht="14.25" customHeight="1">
      <c r="A23" s="27"/>
      <c r="B23" s="27"/>
      <c r="C23" s="958"/>
      <c r="D23" s="959"/>
      <c r="E23" s="959"/>
      <c r="F23" s="959"/>
      <c r="G23" s="959"/>
      <c r="H23" s="959"/>
      <c r="I23" s="959"/>
      <c r="J23" s="959"/>
      <c r="K23" s="959"/>
      <c r="L23" s="959"/>
      <c r="M23" s="959"/>
      <c r="N23" s="959"/>
      <c r="O23" s="959"/>
      <c r="P23" s="959"/>
      <c r="Q23" s="960"/>
      <c r="R23" s="27"/>
      <c r="S23" s="27"/>
    </row>
    <row r="24" spans="1:19" ht="14.25" customHeight="1">
      <c r="A24" s="27"/>
      <c r="B24" s="27"/>
      <c r="C24" s="958"/>
      <c r="D24" s="959"/>
      <c r="E24" s="959"/>
      <c r="F24" s="959"/>
      <c r="G24" s="959"/>
      <c r="H24" s="959"/>
      <c r="I24" s="959"/>
      <c r="J24" s="959"/>
      <c r="K24" s="959"/>
      <c r="L24" s="959"/>
      <c r="M24" s="959"/>
      <c r="N24" s="959"/>
      <c r="O24" s="959"/>
      <c r="P24" s="959"/>
      <c r="Q24" s="960"/>
      <c r="R24" s="27"/>
      <c r="S24" s="27"/>
    </row>
    <row r="25" spans="1:19" ht="14.25" customHeight="1">
      <c r="A25" s="27"/>
      <c r="B25" s="27"/>
      <c r="C25" s="958"/>
      <c r="D25" s="959"/>
      <c r="E25" s="959"/>
      <c r="F25" s="959"/>
      <c r="G25" s="959"/>
      <c r="H25" s="959"/>
      <c r="I25" s="959"/>
      <c r="J25" s="959"/>
      <c r="K25" s="959"/>
      <c r="L25" s="959"/>
      <c r="M25" s="959"/>
      <c r="N25" s="959"/>
      <c r="O25" s="959"/>
      <c r="P25" s="959"/>
      <c r="Q25" s="960"/>
      <c r="R25" s="27"/>
      <c r="S25" s="27"/>
    </row>
    <row r="26" spans="1:19" ht="14.25" customHeight="1">
      <c r="A26" s="27"/>
      <c r="B26" s="27"/>
      <c r="C26" s="958"/>
      <c r="D26" s="959"/>
      <c r="E26" s="959"/>
      <c r="F26" s="959"/>
      <c r="G26" s="959"/>
      <c r="H26" s="959"/>
      <c r="I26" s="959"/>
      <c r="J26" s="959"/>
      <c r="K26" s="959"/>
      <c r="L26" s="959"/>
      <c r="M26" s="959"/>
      <c r="N26" s="959"/>
      <c r="O26" s="959"/>
      <c r="P26" s="959"/>
      <c r="Q26" s="960"/>
      <c r="R26" s="27"/>
      <c r="S26" s="27"/>
    </row>
    <row r="27" spans="1:19" ht="14.25" customHeight="1">
      <c r="A27" s="27"/>
      <c r="B27" s="27"/>
      <c r="C27" s="958"/>
      <c r="D27" s="959"/>
      <c r="E27" s="959"/>
      <c r="F27" s="959"/>
      <c r="G27" s="959"/>
      <c r="H27" s="959"/>
      <c r="I27" s="959"/>
      <c r="J27" s="959"/>
      <c r="K27" s="959"/>
      <c r="L27" s="959"/>
      <c r="M27" s="959"/>
      <c r="N27" s="959"/>
      <c r="O27" s="959"/>
      <c r="P27" s="959"/>
      <c r="Q27" s="960"/>
      <c r="R27" s="27"/>
      <c r="S27" s="27"/>
    </row>
    <row r="28" spans="1:19" ht="14.25" customHeight="1">
      <c r="A28" s="27"/>
      <c r="B28" s="27"/>
      <c r="C28" s="958"/>
      <c r="D28" s="959"/>
      <c r="E28" s="959"/>
      <c r="F28" s="959"/>
      <c r="G28" s="959"/>
      <c r="H28" s="959"/>
      <c r="I28" s="959"/>
      <c r="J28" s="959"/>
      <c r="K28" s="959"/>
      <c r="L28" s="959"/>
      <c r="M28" s="959"/>
      <c r="N28" s="959"/>
      <c r="O28" s="959"/>
      <c r="P28" s="959"/>
      <c r="Q28" s="960"/>
      <c r="R28" s="27"/>
      <c r="S28" s="27"/>
    </row>
    <row r="29" spans="1:19" ht="14.25" customHeight="1">
      <c r="A29" s="27"/>
      <c r="B29" s="27"/>
      <c r="C29" s="958"/>
      <c r="D29" s="959"/>
      <c r="E29" s="959"/>
      <c r="F29" s="959"/>
      <c r="G29" s="959"/>
      <c r="H29" s="959"/>
      <c r="I29" s="959"/>
      <c r="J29" s="959"/>
      <c r="K29" s="959"/>
      <c r="L29" s="959"/>
      <c r="M29" s="959"/>
      <c r="N29" s="959"/>
      <c r="O29" s="959"/>
      <c r="P29" s="959"/>
      <c r="Q29" s="960"/>
      <c r="R29" s="27"/>
      <c r="S29" s="27"/>
    </row>
    <row r="30" spans="1:19" ht="14.25" customHeight="1">
      <c r="A30" s="27"/>
      <c r="B30" s="27"/>
      <c r="C30" s="958"/>
      <c r="D30" s="959"/>
      <c r="E30" s="959"/>
      <c r="F30" s="959"/>
      <c r="G30" s="959"/>
      <c r="H30" s="959"/>
      <c r="I30" s="959"/>
      <c r="J30" s="959"/>
      <c r="K30" s="959"/>
      <c r="L30" s="959"/>
      <c r="M30" s="959"/>
      <c r="N30" s="959"/>
      <c r="O30" s="959"/>
      <c r="P30" s="959"/>
      <c r="Q30" s="960"/>
      <c r="R30" s="27"/>
      <c r="S30" s="27"/>
    </row>
    <row r="31" spans="1:19" ht="14.25" customHeight="1" thickBot="1">
      <c r="A31" s="27"/>
      <c r="B31" s="27"/>
      <c r="C31" s="961"/>
      <c r="D31" s="962"/>
      <c r="E31" s="962"/>
      <c r="F31" s="962"/>
      <c r="G31" s="962"/>
      <c r="H31" s="962"/>
      <c r="I31" s="962"/>
      <c r="J31" s="962"/>
      <c r="K31" s="962"/>
      <c r="L31" s="962"/>
      <c r="M31" s="962"/>
      <c r="N31" s="962"/>
      <c r="O31" s="962"/>
      <c r="P31" s="962"/>
      <c r="Q31" s="963"/>
      <c r="R31" s="27"/>
      <c r="S31" s="27"/>
    </row>
    <row r="32" spans="1:19" ht="14.25" customHeight="1" thickBot="1">
      <c r="A32" s="27"/>
      <c r="B32" s="27"/>
      <c r="C32" s="27"/>
      <c r="D32" s="27"/>
      <c r="E32" s="27"/>
      <c r="F32" s="27"/>
      <c r="G32" s="27"/>
      <c r="H32" s="27"/>
      <c r="I32" s="27"/>
      <c r="J32" s="27"/>
      <c r="K32" s="27"/>
      <c r="L32" s="27"/>
      <c r="M32" s="27"/>
      <c r="N32" s="27"/>
      <c r="O32" s="27"/>
      <c r="P32" s="27"/>
      <c r="Q32" s="27"/>
      <c r="R32" s="27"/>
      <c r="S32" s="27"/>
    </row>
    <row r="33" spans="1:19" ht="19.5" customHeight="1">
      <c r="A33" s="27"/>
      <c r="B33" s="27"/>
      <c r="C33" s="91" t="s">
        <v>362</v>
      </c>
      <c r="D33" s="92"/>
      <c r="E33" s="92"/>
      <c r="F33" s="92"/>
      <c r="G33" s="92"/>
      <c r="H33" s="93"/>
      <c r="I33" s="93"/>
      <c r="J33" s="93"/>
      <c r="K33" s="93"/>
      <c r="L33" s="93"/>
      <c r="M33" s="93"/>
      <c r="N33" s="93"/>
      <c r="O33" s="93"/>
      <c r="P33" s="93"/>
      <c r="Q33" s="94"/>
      <c r="R33" s="27"/>
      <c r="S33" s="27"/>
    </row>
    <row r="34" spans="1:19" ht="15">
      <c r="A34" s="27"/>
      <c r="B34" s="27"/>
      <c r="C34" s="95" t="s">
        <v>329</v>
      </c>
      <c r="D34" s="96"/>
      <c r="E34" s="96"/>
      <c r="F34" s="96"/>
      <c r="G34" s="96"/>
      <c r="H34" s="96"/>
      <c r="I34" s="96"/>
      <c r="J34" s="96"/>
      <c r="K34" s="96"/>
      <c r="L34" s="96"/>
      <c r="M34" s="96"/>
      <c r="N34" s="96"/>
      <c r="O34" s="96"/>
      <c r="P34" s="96"/>
      <c r="Q34" s="97"/>
      <c r="R34" s="27"/>
      <c r="S34" s="27"/>
    </row>
    <row r="35" spans="1:19" ht="15">
      <c r="A35" s="27"/>
      <c r="B35" s="27"/>
      <c r="C35" s="98" t="s">
        <v>361</v>
      </c>
      <c r="D35" s="96" t="s">
        <v>358</v>
      </c>
      <c r="E35" s="96"/>
      <c r="F35" s="96"/>
      <c r="G35" s="96"/>
      <c r="H35" s="96"/>
      <c r="I35" s="96"/>
      <c r="J35" s="96"/>
      <c r="K35" s="96"/>
      <c r="L35" s="96"/>
      <c r="M35" s="96"/>
      <c r="N35" s="96"/>
      <c r="O35" s="96"/>
      <c r="P35" s="96"/>
      <c r="Q35" s="97"/>
      <c r="R35" s="27"/>
      <c r="S35" s="27"/>
    </row>
    <row r="36" spans="1:19" ht="15">
      <c r="A36" s="27"/>
      <c r="B36" s="27"/>
      <c r="C36" s="98" t="s">
        <v>361</v>
      </c>
      <c r="D36" s="96" t="s">
        <v>359</v>
      </c>
      <c r="E36" s="96"/>
      <c r="F36" s="96"/>
      <c r="G36" s="96"/>
      <c r="H36" s="96"/>
      <c r="I36" s="96"/>
      <c r="J36" s="96"/>
      <c r="K36" s="96"/>
      <c r="L36" s="96"/>
      <c r="M36" s="96"/>
      <c r="N36" s="96"/>
      <c r="O36" s="96"/>
      <c r="P36" s="96"/>
      <c r="Q36" s="97"/>
      <c r="R36" s="27"/>
      <c r="S36" s="27"/>
    </row>
    <row r="37" spans="1:19" ht="33.75" customHeight="1" thickBot="1">
      <c r="A37" s="27"/>
      <c r="B37" s="27"/>
      <c r="C37" s="99" t="s">
        <v>361</v>
      </c>
      <c r="D37" s="962" t="s">
        <v>360</v>
      </c>
      <c r="E37" s="962"/>
      <c r="F37" s="962"/>
      <c r="G37" s="962"/>
      <c r="H37" s="962"/>
      <c r="I37" s="962"/>
      <c r="J37" s="962"/>
      <c r="K37" s="962"/>
      <c r="L37" s="962"/>
      <c r="M37" s="962"/>
      <c r="N37" s="962"/>
      <c r="O37" s="962"/>
      <c r="P37" s="962"/>
      <c r="Q37" s="963"/>
      <c r="R37" s="27"/>
      <c r="S37" s="27"/>
    </row>
    <row r="38" spans="1:19">
      <c r="A38" s="27"/>
      <c r="B38" s="27"/>
      <c r="C38" s="27"/>
      <c r="D38" s="27"/>
      <c r="E38" s="27"/>
      <c r="F38" s="27"/>
      <c r="G38" s="27"/>
      <c r="H38" s="27"/>
      <c r="I38" s="27"/>
      <c r="J38" s="27"/>
      <c r="K38" s="27"/>
      <c r="L38" s="27"/>
      <c r="M38" s="27"/>
      <c r="N38" s="27"/>
      <c r="O38" s="27"/>
      <c r="P38" s="27"/>
      <c r="Q38" s="27"/>
      <c r="R38" s="27"/>
      <c r="S38" s="27"/>
    </row>
    <row r="39" spans="1:19" ht="14.25">
      <c r="A39" s="27"/>
      <c r="B39" s="27"/>
      <c r="C39" s="964" t="s">
        <v>421</v>
      </c>
      <c r="D39" s="964"/>
      <c r="E39" s="964"/>
      <c r="F39" s="964"/>
      <c r="G39" s="964"/>
      <c r="H39" s="964"/>
      <c r="I39" s="964"/>
      <c r="J39" s="964"/>
      <c r="K39" s="964"/>
      <c r="L39" s="964"/>
      <c r="M39" s="964"/>
      <c r="N39" s="964"/>
      <c r="O39" s="964"/>
      <c r="P39" s="964"/>
      <c r="Q39" s="964"/>
      <c r="R39" s="30"/>
      <c r="S39" s="27"/>
    </row>
    <row r="40" spans="1:19" ht="14.25">
      <c r="A40" s="27"/>
      <c r="B40" s="27"/>
      <c r="C40" s="964"/>
      <c r="D40" s="964"/>
      <c r="E40" s="964"/>
      <c r="F40" s="964"/>
      <c r="G40" s="964"/>
      <c r="H40" s="964"/>
      <c r="I40" s="964"/>
      <c r="J40" s="964"/>
      <c r="K40" s="964"/>
      <c r="L40" s="964"/>
      <c r="M40" s="964"/>
      <c r="N40" s="964"/>
      <c r="O40" s="964"/>
      <c r="P40" s="964"/>
      <c r="Q40" s="964"/>
      <c r="R40" s="30"/>
      <c r="S40" s="27"/>
    </row>
    <row r="41" spans="1:19" ht="14.25">
      <c r="A41" s="27"/>
      <c r="B41" s="27"/>
      <c r="C41" s="30"/>
      <c r="D41" s="30"/>
      <c r="E41" s="30"/>
      <c r="F41" s="30"/>
      <c r="G41" s="30"/>
      <c r="H41" s="30"/>
      <c r="I41" s="30"/>
      <c r="J41" s="30"/>
      <c r="K41" s="30"/>
      <c r="L41" s="30"/>
      <c r="M41" s="30"/>
      <c r="N41" s="30"/>
      <c r="O41" s="30"/>
      <c r="P41" s="30"/>
      <c r="Q41" s="30"/>
      <c r="R41" s="30"/>
      <c r="S41" s="27"/>
    </row>
    <row r="42" spans="1:19" ht="14.25">
      <c r="A42" s="27"/>
      <c r="B42" s="27"/>
      <c r="C42" s="953" t="s">
        <v>356</v>
      </c>
      <c r="D42" s="953"/>
      <c r="E42" s="953"/>
      <c r="F42" s="953"/>
      <c r="G42" s="953"/>
      <c r="H42" s="953"/>
      <c r="I42" s="953"/>
      <c r="J42" s="953"/>
      <c r="K42" s="953"/>
      <c r="L42" s="953"/>
      <c r="M42" s="953"/>
      <c r="N42" s="953"/>
      <c r="O42" s="953"/>
      <c r="P42" s="953"/>
      <c r="Q42" s="953"/>
      <c r="R42" s="31"/>
      <c r="S42" s="27"/>
    </row>
    <row r="43" spans="1:19" ht="14.25">
      <c r="A43" s="27"/>
      <c r="B43" s="27"/>
      <c r="C43" s="953" t="s">
        <v>357</v>
      </c>
      <c r="D43" s="953"/>
      <c r="E43" s="953"/>
      <c r="F43" s="953"/>
      <c r="G43" s="953"/>
      <c r="H43" s="953"/>
      <c r="I43" s="953"/>
      <c r="J43" s="953"/>
      <c r="K43" s="953"/>
      <c r="L43" s="953"/>
      <c r="M43" s="953"/>
      <c r="N43" s="953"/>
      <c r="O43" s="953"/>
      <c r="P43" s="953"/>
      <c r="Q43" s="953"/>
      <c r="R43" s="31"/>
      <c r="S43" s="27"/>
    </row>
    <row r="44" spans="1:19">
      <c r="A44" s="27"/>
      <c r="B44" s="27"/>
      <c r="C44" s="27"/>
      <c r="D44" s="27"/>
      <c r="E44" s="27"/>
      <c r="F44" s="27"/>
      <c r="G44" s="27"/>
      <c r="H44" s="27"/>
      <c r="I44" s="27"/>
      <c r="J44" s="27"/>
      <c r="K44" s="27"/>
      <c r="L44" s="27"/>
      <c r="M44" s="27"/>
      <c r="N44" s="27"/>
      <c r="O44" s="27"/>
      <c r="P44" s="27"/>
      <c r="Q44" s="27"/>
      <c r="R44" s="27"/>
      <c r="S44" s="27"/>
    </row>
    <row r="45" spans="1:19">
      <c r="A45" s="27"/>
      <c r="B45" s="27"/>
      <c r="C45" s="27"/>
      <c r="D45" s="27"/>
      <c r="E45" s="27"/>
      <c r="F45" s="27"/>
      <c r="G45" s="27"/>
      <c r="H45" s="27"/>
      <c r="I45" s="27"/>
      <c r="J45" s="27"/>
      <c r="K45" s="27"/>
      <c r="L45" s="27"/>
      <c r="M45" s="27"/>
      <c r="N45" s="27"/>
      <c r="O45" s="27"/>
      <c r="P45" s="27"/>
      <c r="Q45" s="27"/>
      <c r="R45" s="27"/>
      <c r="S45" s="27"/>
    </row>
    <row r="46" spans="1:19">
      <c r="A46" s="27"/>
      <c r="B46" s="27"/>
      <c r="C46" s="27"/>
      <c r="D46" s="27"/>
      <c r="E46" s="27"/>
      <c r="F46" s="27"/>
      <c r="G46" s="27"/>
      <c r="H46" s="27"/>
      <c r="I46" s="27"/>
      <c r="J46" s="27"/>
      <c r="K46" s="27"/>
      <c r="L46" s="27"/>
      <c r="M46" s="27"/>
      <c r="N46" s="27"/>
      <c r="O46" s="27"/>
      <c r="P46" s="27"/>
      <c r="Q46" s="27"/>
      <c r="R46" s="27"/>
      <c r="S46" s="27"/>
    </row>
    <row r="47" spans="1:19">
      <c r="A47" s="27"/>
      <c r="B47" s="27"/>
      <c r="C47" s="27"/>
      <c r="D47" s="27"/>
      <c r="E47" s="27"/>
      <c r="F47" s="27"/>
      <c r="G47" s="27"/>
      <c r="H47" s="27"/>
      <c r="I47" s="27"/>
      <c r="J47" s="27"/>
      <c r="K47" s="27"/>
      <c r="L47" s="27"/>
      <c r="M47" s="27"/>
      <c r="N47" s="27"/>
      <c r="O47" s="27"/>
      <c r="P47" s="27"/>
      <c r="Q47" s="27"/>
      <c r="R47" s="27"/>
      <c r="S47" s="27"/>
    </row>
  </sheetData>
  <sheetProtection password="EB90" sheet="1" objects="1" scenarios="1"/>
  <mergeCells count="9">
    <mergeCell ref="C1:Q1"/>
    <mergeCell ref="C42:Q42"/>
    <mergeCell ref="C43:Q43"/>
    <mergeCell ref="C2:Q2"/>
    <mergeCell ref="C17:Q31"/>
    <mergeCell ref="D37:Q37"/>
    <mergeCell ref="C39:Q40"/>
    <mergeCell ref="C11:Q11"/>
    <mergeCell ref="C12:Q12"/>
  </mergeCells>
  <hyperlinks>
    <hyperlink ref="C43:Q43" r:id="rId1" display="Download the latest version of this tool at http://www.waterrf.org"/>
  </hyperlinks>
  <pageMargins left="0.7" right="0.7" top="0.75" bottom="0.75" header="0.3" footer="0.3"/>
  <pageSetup scale="71"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61"/>
  <sheetViews>
    <sheetView showGridLines="0" zoomScaleNormal="100" workbookViewId="0">
      <pane ySplit="2" topLeftCell="A3" activePane="bottomLeft" state="frozen"/>
      <selection activeCell="O5" sqref="O5"/>
      <selection pane="bottomLeft" activeCell="C7" sqref="C7:I7"/>
    </sheetView>
  </sheetViews>
  <sheetFormatPr defaultRowHeight="12.75"/>
  <cols>
    <col min="1" max="1" width="9.140625" style="22" customWidth="1"/>
    <col min="2" max="16384" width="9.140625" style="22"/>
  </cols>
  <sheetData>
    <row r="1" spans="1:19" ht="36.75" customHeight="1">
      <c r="A1" s="27"/>
      <c r="B1" s="28"/>
      <c r="C1" s="952" t="s">
        <v>377</v>
      </c>
      <c r="D1" s="952"/>
      <c r="E1" s="952"/>
      <c r="F1" s="952"/>
      <c r="G1" s="952"/>
      <c r="H1" s="952"/>
      <c r="I1" s="952"/>
      <c r="J1" s="952"/>
      <c r="K1" s="952"/>
      <c r="L1" s="952"/>
      <c r="M1" s="952"/>
      <c r="N1" s="952"/>
      <c r="O1" s="952"/>
      <c r="P1" s="952"/>
      <c r="Q1" s="952"/>
      <c r="R1" s="28"/>
      <c r="S1" s="28"/>
    </row>
    <row r="2" spans="1:19" customFormat="1" ht="24">
      <c r="B2" s="32"/>
      <c r="C2" s="954" t="s">
        <v>328</v>
      </c>
      <c r="D2" s="954"/>
      <c r="E2" s="954"/>
      <c r="F2" s="954"/>
      <c r="G2" s="954"/>
      <c r="H2" s="954"/>
      <c r="I2" s="954"/>
      <c r="J2" s="954"/>
      <c r="K2" s="954"/>
      <c r="L2" s="954"/>
      <c r="M2" s="954"/>
      <c r="N2" s="954"/>
      <c r="O2" s="954"/>
      <c r="P2" s="954"/>
      <c r="Q2" s="954"/>
      <c r="R2" s="32"/>
      <c r="S2" s="32"/>
    </row>
    <row r="3" spans="1:19" s="23" customFormat="1">
      <c r="B3" s="969"/>
      <c r="C3" s="969"/>
      <c r="D3" s="969"/>
      <c r="E3" s="969"/>
      <c r="F3" s="969"/>
      <c r="G3" s="969"/>
      <c r="H3" s="969"/>
      <c r="I3" s="969"/>
      <c r="J3" s="969"/>
      <c r="K3" s="969"/>
      <c r="L3" s="969"/>
      <c r="M3" s="969"/>
      <c r="N3" s="969"/>
    </row>
    <row r="4" spans="1:19" ht="23.25">
      <c r="C4" s="970" t="s">
        <v>400</v>
      </c>
      <c r="D4" s="970"/>
      <c r="E4" s="970"/>
      <c r="F4" s="970"/>
      <c r="G4" s="970"/>
      <c r="H4" s="970"/>
      <c r="I4" s="970"/>
      <c r="J4" s="543"/>
      <c r="K4" s="970" t="s">
        <v>405</v>
      </c>
      <c r="L4" s="970"/>
      <c r="M4" s="970"/>
      <c r="N4" s="970"/>
      <c r="O4" s="970"/>
      <c r="P4" s="970"/>
      <c r="Q4" s="970"/>
    </row>
    <row r="5" spans="1:19" ht="13.5" thickBot="1"/>
    <row r="6" spans="1:19" ht="27.75" customHeight="1" thickBot="1">
      <c r="B6" s="33"/>
      <c r="C6" s="966" t="s">
        <v>402</v>
      </c>
      <c r="D6" s="967"/>
      <c r="E6" s="967"/>
      <c r="F6" s="967"/>
      <c r="G6" s="967"/>
      <c r="H6" s="967"/>
      <c r="I6" s="968"/>
      <c r="J6" s="545"/>
      <c r="K6" s="545"/>
      <c r="L6" s="545"/>
      <c r="M6" s="545"/>
      <c r="N6" s="545"/>
      <c r="O6" s="545"/>
      <c r="P6" s="545"/>
      <c r="Q6" s="545"/>
    </row>
    <row r="7" spans="1:19" ht="27.75" customHeight="1" thickBot="1">
      <c r="B7" s="23"/>
      <c r="C7" s="971" t="s">
        <v>401</v>
      </c>
      <c r="D7" s="972"/>
      <c r="E7" s="972"/>
      <c r="F7" s="972"/>
      <c r="G7" s="972"/>
      <c r="H7" s="972"/>
      <c r="I7" s="973"/>
      <c r="J7" s="545"/>
      <c r="K7" s="545"/>
      <c r="L7" s="545"/>
      <c r="M7" s="545"/>
      <c r="N7" s="545"/>
      <c r="O7" s="545"/>
      <c r="P7" s="545"/>
      <c r="Q7" s="545"/>
    </row>
    <row r="8" spans="1:19" ht="24.75" customHeight="1">
      <c r="C8" s="974" t="s">
        <v>331</v>
      </c>
      <c r="D8" s="974"/>
      <c r="E8" s="974"/>
      <c r="F8" s="974"/>
      <c r="G8" s="974"/>
      <c r="H8" s="974"/>
      <c r="I8" s="974"/>
      <c r="J8" s="544"/>
      <c r="K8" s="975" t="s">
        <v>398</v>
      </c>
      <c r="L8" s="975"/>
      <c r="M8" s="975"/>
      <c r="N8" s="975"/>
      <c r="O8" s="975"/>
      <c r="P8" s="975"/>
      <c r="Q8" s="975"/>
    </row>
    <row r="9" spans="1:19" ht="13.5" thickBot="1">
      <c r="L9" s="24"/>
    </row>
    <row r="10" spans="1:19" ht="23.25">
      <c r="C10" s="978" t="s">
        <v>406</v>
      </c>
      <c r="D10" s="979"/>
      <c r="E10" s="979"/>
      <c r="F10" s="979"/>
      <c r="G10" s="979"/>
      <c r="H10" s="979"/>
      <c r="I10" s="979"/>
      <c r="J10" s="979"/>
      <c r="K10" s="979"/>
      <c r="L10" s="979"/>
      <c r="M10" s="979"/>
      <c r="N10" s="979"/>
      <c r="O10" s="979"/>
      <c r="P10" s="979"/>
      <c r="Q10" s="980"/>
      <c r="S10" s="546"/>
    </row>
    <row r="11" spans="1:19" ht="14.25">
      <c r="C11" s="619"/>
      <c r="D11" s="620"/>
      <c r="E11" s="620"/>
      <c r="F11" s="620"/>
      <c r="G11" s="621"/>
      <c r="H11" s="621"/>
      <c r="I11" s="621"/>
      <c r="J11" s="621"/>
      <c r="K11" s="621"/>
      <c r="L11" s="621"/>
      <c r="M11" s="621"/>
      <c r="N11" s="621"/>
      <c r="O11" s="621"/>
      <c r="P11" s="621"/>
      <c r="Q11" s="622"/>
    </row>
    <row r="12" spans="1:19" ht="15">
      <c r="C12" s="623" t="s">
        <v>403</v>
      </c>
      <c r="D12" s="624"/>
      <c r="E12" s="624"/>
      <c r="F12" s="624"/>
      <c r="G12" s="625"/>
      <c r="H12" s="625"/>
      <c r="I12" s="625"/>
      <c r="J12" s="625"/>
      <c r="K12" s="625"/>
      <c r="L12" s="625"/>
      <c r="M12" s="625"/>
      <c r="N12" s="625"/>
      <c r="O12" s="621"/>
      <c r="P12" s="621"/>
      <c r="Q12" s="622"/>
    </row>
    <row r="13" spans="1:19" s="20" customFormat="1" ht="14.25">
      <c r="C13" s="626"/>
      <c r="D13" s="624"/>
      <c r="E13" s="624"/>
      <c r="F13" s="624"/>
      <c r="G13" s="625"/>
      <c r="H13" s="625"/>
      <c r="I13" s="625"/>
      <c r="J13" s="625"/>
      <c r="K13" s="625"/>
      <c r="L13" s="625"/>
      <c r="M13" s="625"/>
      <c r="N13" s="625"/>
      <c r="O13" s="621"/>
      <c r="P13" s="621"/>
      <c r="Q13" s="622"/>
    </row>
    <row r="14" spans="1:19" s="549" customFormat="1" ht="42.75" customHeight="1">
      <c r="C14" s="627" t="s">
        <v>361</v>
      </c>
      <c r="D14" s="976" t="s">
        <v>407</v>
      </c>
      <c r="E14" s="976"/>
      <c r="F14" s="976"/>
      <c r="G14" s="976"/>
      <c r="H14" s="976"/>
      <c r="I14" s="976"/>
      <c r="J14" s="976"/>
      <c r="K14" s="976"/>
      <c r="L14" s="976"/>
      <c r="M14" s="976"/>
      <c r="N14" s="976"/>
      <c r="O14" s="976"/>
      <c r="P14" s="976"/>
      <c r="Q14" s="977"/>
      <c r="S14" s="550"/>
    </row>
    <row r="15" spans="1:19" s="549" customFormat="1" ht="42.75" customHeight="1">
      <c r="C15" s="627" t="s">
        <v>361</v>
      </c>
      <c r="D15" s="976" t="s">
        <v>408</v>
      </c>
      <c r="E15" s="976"/>
      <c r="F15" s="976"/>
      <c r="G15" s="976"/>
      <c r="H15" s="976"/>
      <c r="I15" s="976"/>
      <c r="J15" s="976"/>
      <c r="K15" s="976"/>
      <c r="L15" s="976"/>
      <c r="M15" s="976"/>
      <c r="N15" s="976"/>
      <c r="O15" s="976"/>
      <c r="P15" s="976"/>
      <c r="Q15" s="977"/>
      <c r="S15" s="550"/>
    </row>
    <row r="16" spans="1:19" s="549" customFormat="1" ht="71.25" customHeight="1">
      <c r="C16" s="627" t="s">
        <v>361</v>
      </c>
      <c r="D16" s="976" t="s">
        <v>409</v>
      </c>
      <c r="E16" s="976"/>
      <c r="F16" s="976"/>
      <c r="G16" s="976"/>
      <c r="H16" s="976"/>
      <c r="I16" s="976"/>
      <c r="J16" s="976"/>
      <c r="K16" s="976"/>
      <c r="L16" s="976"/>
      <c r="M16" s="976"/>
      <c r="N16" s="976"/>
      <c r="O16" s="976"/>
      <c r="P16" s="976"/>
      <c r="Q16" s="977"/>
      <c r="S16" s="550"/>
    </row>
    <row r="17" spans="2:19" s="549" customFormat="1" ht="57" customHeight="1">
      <c r="C17" s="627" t="s">
        <v>361</v>
      </c>
      <c r="D17" s="976" t="s">
        <v>410</v>
      </c>
      <c r="E17" s="976"/>
      <c r="F17" s="976"/>
      <c r="G17" s="976"/>
      <c r="H17" s="976"/>
      <c r="I17" s="976"/>
      <c r="J17" s="976"/>
      <c r="K17" s="976"/>
      <c r="L17" s="976"/>
      <c r="M17" s="976"/>
      <c r="N17" s="976"/>
      <c r="O17" s="976"/>
      <c r="P17" s="976"/>
      <c r="Q17" s="977"/>
      <c r="S17" s="550"/>
    </row>
    <row r="18" spans="2:19" s="549" customFormat="1" ht="57" customHeight="1">
      <c r="C18" s="627"/>
      <c r="D18" s="628" t="s">
        <v>399</v>
      </c>
      <c r="E18" s="976" t="s">
        <v>411</v>
      </c>
      <c r="F18" s="976"/>
      <c r="G18" s="976"/>
      <c r="H18" s="976"/>
      <c r="I18" s="976"/>
      <c r="J18" s="976"/>
      <c r="K18" s="976"/>
      <c r="L18" s="976"/>
      <c r="M18" s="976"/>
      <c r="N18" s="976"/>
      <c r="O18" s="976"/>
      <c r="P18" s="976"/>
      <c r="Q18" s="977"/>
      <c r="S18" s="550"/>
    </row>
    <row r="19" spans="2:19" s="549" customFormat="1" ht="57" customHeight="1">
      <c r="C19" s="627"/>
      <c r="D19" s="628" t="s">
        <v>399</v>
      </c>
      <c r="E19" s="976" t="s">
        <v>412</v>
      </c>
      <c r="F19" s="976"/>
      <c r="G19" s="976"/>
      <c r="H19" s="976"/>
      <c r="I19" s="976"/>
      <c r="J19" s="976"/>
      <c r="K19" s="976"/>
      <c r="L19" s="976"/>
      <c r="M19" s="976"/>
      <c r="N19" s="976"/>
      <c r="O19" s="976"/>
      <c r="P19" s="976"/>
      <c r="Q19" s="977"/>
      <c r="S19" s="550"/>
    </row>
    <row r="20" spans="2:19" s="549" customFormat="1" ht="57" customHeight="1">
      <c r="C20" s="627"/>
      <c r="D20" s="628" t="s">
        <v>399</v>
      </c>
      <c r="E20" s="976" t="s">
        <v>413</v>
      </c>
      <c r="F20" s="976"/>
      <c r="G20" s="976"/>
      <c r="H20" s="976"/>
      <c r="I20" s="976"/>
      <c r="J20" s="976"/>
      <c r="K20" s="976"/>
      <c r="L20" s="976"/>
      <c r="M20" s="976"/>
      <c r="N20" s="976"/>
      <c r="O20" s="976"/>
      <c r="P20" s="976"/>
      <c r="Q20" s="977"/>
      <c r="S20" s="550"/>
    </row>
    <row r="21" spans="2:19" s="549" customFormat="1" ht="42.75" customHeight="1">
      <c r="C21" s="627"/>
      <c r="D21" s="628" t="s">
        <v>399</v>
      </c>
      <c r="E21" s="976" t="s">
        <v>414</v>
      </c>
      <c r="F21" s="976"/>
      <c r="G21" s="976"/>
      <c r="H21" s="976"/>
      <c r="I21" s="976"/>
      <c r="J21" s="976"/>
      <c r="K21" s="976"/>
      <c r="L21" s="976"/>
      <c r="M21" s="976"/>
      <c r="N21" s="976"/>
      <c r="O21" s="976"/>
      <c r="P21" s="976"/>
      <c r="Q21" s="977"/>
      <c r="S21" s="550"/>
    </row>
    <row r="22" spans="2:19" s="549" customFormat="1" ht="42.75" customHeight="1">
      <c r="C22" s="627" t="s">
        <v>361</v>
      </c>
      <c r="D22" s="976" t="s">
        <v>420</v>
      </c>
      <c r="E22" s="976"/>
      <c r="F22" s="976"/>
      <c r="G22" s="976"/>
      <c r="H22" s="976"/>
      <c r="I22" s="976"/>
      <c r="J22" s="976"/>
      <c r="K22" s="976"/>
      <c r="L22" s="976"/>
      <c r="M22" s="976"/>
      <c r="N22" s="976"/>
      <c r="O22" s="976"/>
      <c r="P22" s="976"/>
      <c r="Q22" s="977"/>
      <c r="S22" s="550"/>
    </row>
    <row r="23" spans="2:19" s="549" customFormat="1" ht="28.5" customHeight="1">
      <c r="C23" s="627" t="s">
        <v>361</v>
      </c>
      <c r="D23" s="976" t="s">
        <v>415</v>
      </c>
      <c r="E23" s="976"/>
      <c r="F23" s="976"/>
      <c r="G23" s="976"/>
      <c r="H23" s="976"/>
      <c r="I23" s="976"/>
      <c r="J23" s="976"/>
      <c r="K23" s="976"/>
      <c r="L23" s="976"/>
      <c r="M23" s="976"/>
      <c r="N23" s="976"/>
      <c r="O23" s="976"/>
      <c r="P23" s="976"/>
      <c r="Q23" s="977"/>
      <c r="S23" s="550"/>
    </row>
    <row r="24" spans="2:19" s="547" customFormat="1" ht="57" customHeight="1">
      <c r="B24" s="551"/>
      <c r="C24" s="629" t="s">
        <v>361</v>
      </c>
      <c r="D24" s="976" t="s">
        <v>417</v>
      </c>
      <c r="E24" s="976"/>
      <c r="F24" s="976"/>
      <c r="G24" s="976"/>
      <c r="H24" s="976"/>
      <c r="I24" s="976"/>
      <c r="J24" s="976"/>
      <c r="K24" s="976"/>
      <c r="L24" s="976"/>
      <c r="M24" s="976"/>
      <c r="N24" s="976"/>
      <c r="O24" s="976"/>
      <c r="P24" s="976"/>
      <c r="Q24" s="977"/>
      <c r="S24" s="548"/>
    </row>
    <row r="25" spans="2:19" s="547" customFormat="1" ht="15">
      <c r="B25" s="551"/>
      <c r="C25" s="630" t="s">
        <v>404</v>
      </c>
      <c r="D25" s="631"/>
      <c r="E25" s="631"/>
      <c r="F25" s="631"/>
      <c r="G25" s="631"/>
      <c r="H25" s="631"/>
      <c r="I25" s="631"/>
      <c r="J25" s="631"/>
      <c r="K25" s="631"/>
      <c r="L25" s="631"/>
      <c r="M25" s="631"/>
      <c r="N25" s="631"/>
      <c r="O25" s="632"/>
      <c r="P25" s="632"/>
      <c r="Q25" s="633"/>
      <c r="S25" s="548"/>
    </row>
    <row r="26" spans="2:19" s="547" customFormat="1" ht="15">
      <c r="B26" s="551"/>
      <c r="C26" s="634"/>
      <c r="D26" s="631"/>
      <c r="E26" s="631"/>
      <c r="F26" s="631"/>
      <c r="G26" s="631"/>
      <c r="H26" s="631"/>
      <c r="I26" s="631"/>
      <c r="J26" s="631"/>
      <c r="K26" s="631"/>
      <c r="L26" s="631"/>
      <c r="M26" s="631"/>
      <c r="N26" s="631"/>
      <c r="O26" s="632"/>
      <c r="P26" s="632"/>
      <c r="Q26" s="633"/>
      <c r="S26" s="548"/>
    </row>
    <row r="27" spans="2:19" s="547" customFormat="1" ht="42.75" customHeight="1">
      <c r="B27" s="551"/>
      <c r="C27" s="629" t="s">
        <v>361</v>
      </c>
      <c r="D27" s="976" t="s">
        <v>416</v>
      </c>
      <c r="E27" s="976"/>
      <c r="F27" s="976"/>
      <c r="G27" s="976"/>
      <c r="H27" s="976"/>
      <c r="I27" s="976"/>
      <c r="J27" s="976"/>
      <c r="K27" s="976"/>
      <c r="L27" s="976"/>
      <c r="M27" s="976"/>
      <c r="N27" s="976"/>
      <c r="O27" s="976"/>
      <c r="P27" s="976"/>
      <c r="Q27" s="977"/>
      <c r="S27" s="548"/>
    </row>
    <row r="28" spans="2:19" s="547" customFormat="1" ht="42.75" customHeight="1">
      <c r="B28" s="551"/>
      <c r="C28" s="629" t="s">
        <v>361</v>
      </c>
      <c r="D28" s="976" t="s">
        <v>419</v>
      </c>
      <c r="E28" s="976"/>
      <c r="F28" s="976"/>
      <c r="G28" s="976"/>
      <c r="H28" s="976"/>
      <c r="I28" s="976"/>
      <c r="J28" s="976"/>
      <c r="K28" s="976"/>
      <c r="L28" s="976"/>
      <c r="M28" s="976"/>
      <c r="N28" s="976"/>
      <c r="O28" s="976"/>
      <c r="P28" s="976"/>
      <c r="Q28" s="977"/>
      <c r="S28" s="548"/>
    </row>
    <row r="29" spans="2:19" s="547" customFormat="1" ht="42.75" customHeight="1">
      <c r="B29" s="551"/>
      <c r="C29" s="629" t="s">
        <v>361</v>
      </c>
      <c r="D29" s="976" t="s">
        <v>418</v>
      </c>
      <c r="E29" s="976"/>
      <c r="F29" s="976"/>
      <c r="G29" s="976"/>
      <c r="H29" s="976"/>
      <c r="I29" s="976"/>
      <c r="J29" s="976"/>
      <c r="K29" s="976"/>
      <c r="L29" s="976"/>
      <c r="M29" s="976"/>
      <c r="N29" s="976"/>
      <c r="O29" s="976"/>
      <c r="P29" s="976"/>
      <c r="Q29" s="977"/>
      <c r="S29" s="548"/>
    </row>
    <row r="30" spans="2:19" ht="15" thickBot="1">
      <c r="B30" s="25"/>
      <c r="C30" s="635"/>
      <c r="D30" s="636"/>
      <c r="E30" s="636"/>
      <c r="F30" s="636"/>
      <c r="G30" s="636"/>
      <c r="H30" s="636"/>
      <c r="I30" s="636"/>
      <c r="J30" s="636"/>
      <c r="K30" s="636"/>
      <c r="L30" s="636"/>
      <c r="M30" s="636"/>
      <c r="N30" s="636"/>
      <c r="O30" s="636"/>
      <c r="P30" s="636"/>
      <c r="Q30" s="637"/>
    </row>
    <row r="31" spans="2:19" ht="14.25">
      <c r="B31" s="26"/>
      <c r="C31" s="20"/>
    </row>
    <row r="32" spans="2:19" ht="13.5">
      <c r="B32" s="23"/>
      <c r="C32" s="981"/>
      <c r="D32" s="981"/>
      <c r="E32" s="981"/>
      <c r="F32" s="981"/>
      <c r="G32" s="981"/>
      <c r="H32" s="981"/>
      <c r="I32" s="981"/>
      <c r="J32" s="981"/>
      <c r="K32" s="981"/>
      <c r="L32" s="981"/>
      <c r="M32" s="981"/>
      <c r="N32" s="981"/>
      <c r="O32" s="981"/>
      <c r="P32" s="981"/>
      <c r="Q32" s="981"/>
    </row>
    <row r="33" spans="2:2">
      <c r="B33" s="23"/>
    </row>
    <row r="34" spans="2:2">
      <c r="B34" s="23"/>
    </row>
    <row r="35" spans="2:2">
      <c r="B35" s="23"/>
    </row>
    <row r="36" spans="2:2">
      <c r="B36" s="23"/>
    </row>
    <row r="37" spans="2:2">
      <c r="B37" s="23"/>
    </row>
    <row r="58" spans="2:17">
      <c r="B58" s="23"/>
    </row>
    <row r="60" spans="2:17">
      <c r="B60" s="982"/>
      <c r="C60" s="982"/>
      <c r="D60" s="982"/>
      <c r="E60" s="982"/>
      <c r="F60" s="982"/>
      <c r="G60" s="982"/>
      <c r="H60" s="982"/>
      <c r="I60" s="982"/>
      <c r="J60" s="982"/>
      <c r="K60" s="982"/>
      <c r="L60" s="982"/>
      <c r="M60" s="982"/>
      <c r="N60" s="982"/>
      <c r="O60" s="982"/>
      <c r="P60" s="982"/>
      <c r="Q60" s="982"/>
    </row>
    <row r="61" spans="2:17">
      <c r="B61" s="982"/>
      <c r="C61" s="982"/>
      <c r="D61" s="982"/>
      <c r="E61" s="982"/>
      <c r="F61" s="982"/>
      <c r="G61" s="982"/>
      <c r="H61" s="982"/>
      <c r="I61" s="982"/>
      <c r="J61" s="982"/>
      <c r="K61" s="982"/>
      <c r="L61" s="982"/>
      <c r="M61" s="982"/>
      <c r="N61" s="982"/>
      <c r="O61" s="982"/>
      <c r="P61" s="982"/>
      <c r="Q61" s="982"/>
    </row>
  </sheetData>
  <sheetProtection password="EB90" sheet="1" objects="1" scenarios="1"/>
  <mergeCells count="27">
    <mergeCell ref="C32:Q32"/>
    <mergeCell ref="B60:Q60"/>
    <mergeCell ref="B61:Q61"/>
    <mergeCell ref="D15:Q15"/>
    <mergeCell ref="D17:Q17"/>
    <mergeCell ref="E18:Q18"/>
    <mergeCell ref="E19:Q19"/>
    <mergeCell ref="D27:Q27"/>
    <mergeCell ref="E20:Q20"/>
    <mergeCell ref="D22:Q22"/>
    <mergeCell ref="D23:Q23"/>
    <mergeCell ref="E21:Q21"/>
    <mergeCell ref="D24:Q24"/>
    <mergeCell ref="D28:Q28"/>
    <mergeCell ref="D29:Q29"/>
    <mergeCell ref="C7:I7"/>
    <mergeCell ref="C8:I8"/>
    <mergeCell ref="K8:Q8"/>
    <mergeCell ref="D14:Q14"/>
    <mergeCell ref="D16:Q16"/>
    <mergeCell ref="C10:Q10"/>
    <mergeCell ref="C6:I6"/>
    <mergeCell ref="C1:Q1"/>
    <mergeCell ref="C2:Q2"/>
    <mergeCell ref="B3:N3"/>
    <mergeCell ref="C4:I4"/>
    <mergeCell ref="K4:Q4"/>
  </mergeCells>
  <pageMargins left="0.7" right="0.7" top="0.75" bottom="0.75" header="0.3" footer="0.3"/>
  <pageSetup scale="71"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H123"/>
  <sheetViews>
    <sheetView showGridLines="0" zoomScaleNormal="100" workbookViewId="0">
      <pane ySplit="2" topLeftCell="A3" activePane="bottomLeft" state="frozen"/>
      <selection activeCell="O5" sqref="O5"/>
      <selection pane="bottomLeft" activeCell="A3" sqref="A3"/>
    </sheetView>
  </sheetViews>
  <sheetFormatPr defaultColWidth="8.85546875" defaultRowHeight="12.75"/>
  <cols>
    <col min="1" max="1" width="14.7109375" style="231" customWidth="1"/>
    <col min="2" max="2" width="23.5703125" style="231" customWidth="1"/>
    <col min="3" max="3" width="19.7109375" style="231" customWidth="1"/>
    <col min="4" max="4" width="20.5703125" style="231" customWidth="1"/>
    <col min="5" max="5" width="44.140625" style="231" customWidth="1"/>
    <col min="6" max="6" width="18.5703125" style="231" customWidth="1"/>
    <col min="7" max="7" width="16.5703125" style="231" customWidth="1"/>
    <col min="8" max="8" width="9.140625" style="231" customWidth="1"/>
    <col min="9" max="11" width="14.140625" style="256" customWidth="1"/>
    <col min="12" max="12" width="27.140625" style="256" bestFit="1" customWidth="1"/>
    <col min="13" max="13" width="12.85546875" style="256" bestFit="1" customWidth="1"/>
    <col min="14" max="14" width="18.5703125" style="256" bestFit="1" customWidth="1"/>
    <col min="15" max="15" width="25.7109375" style="256" bestFit="1" customWidth="1"/>
    <col min="16" max="16" width="20.42578125" style="256" bestFit="1" customWidth="1"/>
    <col min="17" max="17" width="29.42578125" style="256" bestFit="1" customWidth="1"/>
    <col min="18" max="18" width="14.5703125" style="256" bestFit="1" customWidth="1"/>
    <col min="19" max="19" width="11.42578125" style="256" bestFit="1" customWidth="1"/>
    <col min="20" max="20" width="8.140625" style="256" customWidth="1"/>
    <col min="21" max="23" width="8.140625" style="943" customWidth="1"/>
    <col min="24" max="27" width="8.140625" style="256" customWidth="1"/>
    <col min="28" max="35" width="8.140625" style="231" customWidth="1"/>
    <col min="36" max="16384" width="8.85546875" style="231"/>
  </cols>
  <sheetData>
    <row r="1" spans="2:34" s="230" customFormat="1" ht="36.75" customHeight="1">
      <c r="B1" s="983" t="s">
        <v>378</v>
      </c>
      <c r="C1" s="983"/>
      <c r="D1" s="983"/>
      <c r="E1" s="983"/>
      <c r="F1" s="983"/>
      <c r="G1" s="983"/>
      <c r="H1" s="983"/>
      <c r="I1" s="228"/>
      <c r="J1" s="228"/>
      <c r="K1" s="229"/>
      <c r="L1" s="229"/>
      <c r="M1" s="229"/>
      <c r="N1" s="229"/>
      <c r="O1" s="229"/>
      <c r="P1" s="229"/>
      <c r="Q1" s="229"/>
      <c r="R1" s="229"/>
      <c r="S1" s="229"/>
      <c r="T1" s="229"/>
      <c r="U1" s="942"/>
      <c r="V1" s="942"/>
      <c r="W1" s="942"/>
      <c r="X1" s="229"/>
      <c r="Y1" s="229"/>
      <c r="Z1" s="229"/>
      <c r="AA1" s="229"/>
      <c r="AB1" s="229"/>
    </row>
    <row r="2" spans="2:34" ht="36.75" customHeight="1">
      <c r="B2" s="988" t="s">
        <v>363</v>
      </c>
      <c r="C2" s="988"/>
      <c r="D2" s="988"/>
      <c r="E2" s="988"/>
      <c r="F2" s="988"/>
      <c r="G2" s="988"/>
      <c r="H2" s="988"/>
    </row>
    <row r="3" spans="2:34" ht="13.5" thickBot="1">
      <c r="B3" s="520"/>
      <c r="C3" s="520"/>
      <c r="D3" s="520"/>
      <c r="E3" s="520"/>
      <c r="F3" s="520"/>
      <c r="G3" s="520"/>
      <c r="H3" s="520"/>
    </row>
    <row r="4" spans="2:34" ht="27" customHeight="1">
      <c r="B4" s="253" t="s">
        <v>291</v>
      </c>
      <c r="C4" s="232"/>
      <c r="D4" s="232"/>
      <c r="E4" s="232"/>
      <c r="F4" s="232"/>
      <c r="G4" s="232"/>
      <c r="H4" s="233"/>
    </row>
    <row r="5" spans="2:34" ht="15">
      <c r="B5" s="238" t="s">
        <v>5</v>
      </c>
      <c r="C5" s="993" t="s">
        <v>280</v>
      </c>
      <c r="D5" s="993"/>
      <c r="E5" s="993"/>
      <c r="F5" s="993"/>
      <c r="G5" s="993"/>
      <c r="H5" s="237"/>
    </row>
    <row r="6" spans="2:34" ht="15">
      <c r="B6" s="238" t="s">
        <v>278</v>
      </c>
      <c r="C6" s="993" t="s">
        <v>384</v>
      </c>
      <c r="D6" s="993"/>
      <c r="E6" s="993"/>
      <c r="F6" s="993"/>
      <c r="G6" s="993"/>
      <c r="H6" s="237"/>
    </row>
    <row r="7" spans="2:34" ht="15">
      <c r="B7" s="238" t="s">
        <v>281</v>
      </c>
      <c r="C7" s="993" t="s">
        <v>388</v>
      </c>
      <c r="D7" s="993"/>
      <c r="E7" s="993"/>
      <c r="F7" s="993"/>
      <c r="G7" s="993"/>
      <c r="H7" s="237"/>
    </row>
    <row r="8" spans="2:34" ht="15">
      <c r="B8" s="238" t="s">
        <v>279</v>
      </c>
      <c r="C8" s="994">
        <v>41275</v>
      </c>
      <c r="D8" s="994"/>
      <c r="E8" s="994"/>
      <c r="F8" s="994"/>
      <c r="G8" s="994"/>
      <c r="H8" s="237"/>
    </row>
    <row r="9" spans="2:34" s="514" customFormat="1" ht="39" customHeight="1">
      <c r="B9" s="511" t="s">
        <v>389</v>
      </c>
      <c r="C9" s="995"/>
      <c r="D9" s="995"/>
      <c r="E9" s="995"/>
      <c r="F9" s="995"/>
      <c r="G9" s="995"/>
      <c r="H9" s="512"/>
      <c r="I9" s="513"/>
      <c r="J9" s="513"/>
      <c r="K9" s="513"/>
      <c r="L9" s="513"/>
      <c r="M9" s="513"/>
      <c r="N9" s="513"/>
      <c r="O9" s="513"/>
      <c r="P9" s="513"/>
      <c r="Q9" s="513"/>
      <c r="R9" s="513"/>
      <c r="S9" s="513"/>
      <c r="T9" s="513"/>
      <c r="U9" s="944"/>
      <c r="V9" s="944"/>
      <c r="W9" s="944"/>
      <c r="X9" s="513"/>
      <c r="Y9" s="513"/>
      <c r="Z9" s="513"/>
      <c r="AA9" s="513"/>
    </row>
    <row r="10" spans="2:34" ht="15">
      <c r="B10" s="238"/>
      <c r="C10" s="239"/>
      <c r="D10" s="240"/>
      <c r="E10" s="240"/>
      <c r="F10" s="236"/>
      <c r="G10" s="236"/>
      <c r="H10" s="237"/>
    </row>
    <row r="11" spans="2:34" ht="15">
      <c r="B11" s="238" t="s">
        <v>6</v>
      </c>
      <c r="C11" s="239" t="s">
        <v>8</v>
      </c>
      <c r="D11" s="241" t="str">
        <f>VLOOKUP(BillingPeriod,Callouts!$A$2:$B$3,2,FALSE)</f>
        <v>/month</v>
      </c>
      <c r="E11" s="241" t="str">
        <f>LOWER(BillingPeriod)</f>
        <v>monthly</v>
      </c>
      <c r="F11" s="242">
        <f>IF(BillingPeriod="monthly",1,IF(BillingPeriod="bimonthly",2,"NA"))</f>
        <v>1</v>
      </c>
      <c r="G11" s="236"/>
      <c r="H11" s="237"/>
    </row>
    <row r="12" spans="2:34" ht="15">
      <c r="B12" s="243" t="s">
        <v>385</v>
      </c>
      <c r="C12" s="239" t="s">
        <v>12</v>
      </c>
      <c r="D12" s="241" t="str">
        <f>VLOOKUP(Units,Callouts!$D$2:$H$4,2,FALSE)</f>
        <v>gallons</v>
      </c>
      <c r="E12" s="241">
        <f>VLOOKUP(Units,Callouts!$D$2:$H$4,3,FALSE)</f>
        <v>1000</v>
      </c>
      <c r="F12" s="236">
        <f>VLOOKUP(Units,Callouts!$D$2:$H$4,4,FALSE)</f>
        <v>1</v>
      </c>
      <c r="G12" s="236">
        <f>VLOOKUP(Units,Callouts!$D$2:$H$4,5,FALSE)</f>
        <v>1</v>
      </c>
      <c r="H12" s="237"/>
    </row>
    <row r="13" spans="2:34" ht="13.5" thickBot="1">
      <c r="B13" s="244"/>
      <c r="C13" s="245"/>
      <c r="D13" s="246"/>
      <c r="E13" s="246"/>
      <c r="F13" s="247"/>
      <c r="G13" s="247"/>
      <c r="H13" s="248"/>
    </row>
    <row r="14" spans="2:34" ht="13.5" thickBot="1">
      <c r="C14" s="249"/>
      <c r="D14" s="250"/>
      <c r="E14" s="250"/>
      <c r="F14" s="250"/>
      <c r="G14" s="250"/>
      <c r="H14" s="251"/>
    </row>
    <row r="15" spans="2:34" hidden="1">
      <c r="C15" s="249"/>
      <c r="D15" s="250"/>
      <c r="E15" s="250"/>
      <c r="F15" s="250"/>
      <c r="G15" s="250"/>
      <c r="H15" s="251"/>
    </row>
    <row r="16" spans="2:34" hidden="1">
      <c r="B16" s="231" t="s">
        <v>37</v>
      </c>
      <c r="C16" s="252" t="str">
        <f>BillingPeriod</f>
        <v>Monthly</v>
      </c>
      <c r="D16" s="250">
        <v>0</v>
      </c>
      <c r="E16" s="250">
        <f>D16+$E$12</f>
        <v>1000</v>
      </c>
      <c r="F16" s="250">
        <f t="shared" ref="F16:AH16" si="0">E16+$E$12</f>
        <v>2000</v>
      </c>
      <c r="G16" s="250">
        <f>F16+$E$12</f>
        <v>3000</v>
      </c>
      <c r="H16" s="250">
        <f t="shared" si="0"/>
        <v>4000</v>
      </c>
      <c r="I16" s="510">
        <f t="shared" si="0"/>
        <v>5000</v>
      </c>
      <c r="J16" s="510">
        <f t="shared" si="0"/>
        <v>6000</v>
      </c>
      <c r="K16" s="510">
        <f t="shared" si="0"/>
        <v>7000</v>
      </c>
      <c r="L16" s="510">
        <f t="shared" si="0"/>
        <v>8000</v>
      </c>
      <c r="M16" s="510">
        <f t="shared" si="0"/>
        <v>9000</v>
      </c>
      <c r="N16" s="510">
        <f t="shared" si="0"/>
        <v>10000</v>
      </c>
      <c r="O16" s="510">
        <f t="shared" si="0"/>
        <v>11000</v>
      </c>
      <c r="P16" s="510">
        <f t="shared" si="0"/>
        <v>12000</v>
      </c>
      <c r="Q16" s="510">
        <f t="shared" si="0"/>
        <v>13000</v>
      </c>
      <c r="R16" s="510">
        <f t="shared" si="0"/>
        <v>14000</v>
      </c>
      <c r="S16" s="510">
        <f t="shared" si="0"/>
        <v>15000</v>
      </c>
      <c r="T16" s="510">
        <f t="shared" si="0"/>
        <v>16000</v>
      </c>
      <c r="U16" s="945">
        <f t="shared" si="0"/>
        <v>17000</v>
      </c>
      <c r="V16" s="945">
        <f t="shared" si="0"/>
        <v>18000</v>
      </c>
      <c r="W16" s="945">
        <f t="shared" si="0"/>
        <v>19000</v>
      </c>
      <c r="X16" s="510">
        <f t="shared" si="0"/>
        <v>20000</v>
      </c>
      <c r="Y16" s="510">
        <f t="shared" si="0"/>
        <v>21000</v>
      </c>
      <c r="Z16" s="510">
        <f t="shared" si="0"/>
        <v>22000</v>
      </c>
      <c r="AA16" s="510">
        <f t="shared" si="0"/>
        <v>23000</v>
      </c>
      <c r="AB16" s="249">
        <f t="shared" si="0"/>
        <v>24000</v>
      </c>
      <c r="AC16" s="249">
        <f t="shared" si="0"/>
        <v>25000</v>
      </c>
      <c r="AD16" s="249">
        <f t="shared" si="0"/>
        <v>26000</v>
      </c>
      <c r="AE16" s="249">
        <f t="shared" si="0"/>
        <v>27000</v>
      </c>
      <c r="AF16" s="249">
        <f t="shared" si="0"/>
        <v>28000</v>
      </c>
      <c r="AG16" s="249">
        <f t="shared" si="0"/>
        <v>29000</v>
      </c>
      <c r="AH16" s="249">
        <f t="shared" si="0"/>
        <v>30000</v>
      </c>
    </row>
    <row r="17" spans="2:34" hidden="1">
      <c r="C17" s="252" t="s">
        <v>8</v>
      </c>
      <c r="D17" s="250">
        <v>0</v>
      </c>
      <c r="E17" s="250">
        <f t="shared" ref="E17:AH17" si="1">E16/periodmultiplier</f>
        <v>1000</v>
      </c>
      <c r="F17" s="250">
        <f t="shared" si="1"/>
        <v>2000</v>
      </c>
      <c r="G17" s="250">
        <f t="shared" si="1"/>
        <v>3000</v>
      </c>
      <c r="H17" s="250">
        <f t="shared" si="1"/>
        <v>4000</v>
      </c>
      <c r="I17" s="510">
        <f t="shared" si="1"/>
        <v>5000</v>
      </c>
      <c r="J17" s="510">
        <f t="shared" si="1"/>
        <v>6000</v>
      </c>
      <c r="K17" s="510">
        <f t="shared" si="1"/>
        <v>7000</v>
      </c>
      <c r="L17" s="510">
        <f t="shared" si="1"/>
        <v>8000</v>
      </c>
      <c r="M17" s="510">
        <f t="shared" si="1"/>
        <v>9000</v>
      </c>
      <c r="N17" s="510">
        <f t="shared" si="1"/>
        <v>10000</v>
      </c>
      <c r="O17" s="510">
        <f t="shared" si="1"/>
        <v>11000</v>
      </c>
      <c r="P17" s="510">
        <f t="shared" si="1"/>
        <v>12000</v>
      </c>
      <c r="Q17" s="510">
        <f t="shared" si="1"/>
        <v>13000</v>
      </c>
      <c r="R17" s="510">
        <f t="shared" si="1"/>
        <v>14000</v>
      </c>
      <c r="S17" s="510">
        <f t="shared" si="1"/>
        <v>15000</v>
      </c>
      <c r="T17" s="510">
        <f t="shared" si="1"/>
        <v>16000</v>
      </c>
      <c r="U17" s="945">
        <f t="shared" si="1"/>
        <v>17000</v>
      </c>
      <c r="V17" s="945">
        <f t="shared" si="1"/>
        <v>18000</v>
      </c>
      <c r="W17" s="945">
        <f t="shared" si="1"/>
        <v>19000</v>
      </c>
      <c r="X17" s="510">
        <f t="shared" si="1"/>
        <v>20000</v>
      </c>
      <c r="Y17" s="510">
        <f t="shared" si="1"/>
        <v>21000</v>
      </c>
      <c r="Z17" s="510">
        <f t="shared" si="1"/>
        <v>22000</v>
      </c>
      <c r="AA17" s="510">
        <f t="shared" si="1"/>
        <v>23000</v>
      </c>
      <c r="AB17" s="249">
        <f t="shared" si="1"/>
        <v>24000</v>
      </c>
      <c r="AC17" s="249">
        <f t="shared" si="1"/>
        <v>25000</v>
      </c>
      <c r="AD17" s="249">
        <f t="shared" si="1"/>
        <v>26000</v>
      </c>
      <c r="AE17" s="249">
        <f t="shared" si="1"/>
        <v>27000</v>
      </c>
      <c r="AF17" s="249">
        <f t="shared" si="1"/>
        <v>28000</v>
      </c>
      <c r="AG17" s="249">
        <f t="shared" si="1"/>
        <v>29000</v>
      </c>
      <c r="AH17" s="249">
        <f t="shared" si="1"/>
        <v>30000</v>
      </c>
    </row>
    <row r="18" spans="2:34" hidden="1">
      <c r="C18" s="249"/>
      <c r="D18" s="250"/>
      <c r="E18" s="250"/>
      <c r="F18" s="250"/>
      <c r="G18" s="250"/>
      <c r="H18" s="251"/>
    </row>
    <row r="19" spans="2:34" ht="13.5" hidden="1" thickBot="1">
      <c r="C19" s="249"/>
      <c r="D19" s="250"/>
      <c r="E19" s="250"/>
      <c r="F19" s="250"/>
      <c r="G19" s="250"/>
      <c r="H19" s="251"/>
    </row>
    <row r="20" spans="2:34" ht="27" customHeight="1">
      <c r="B20" s="253" t="s">
        <v>292</v>
      </c>
      <c r="C20" s="232"/>
      <c r="D20" s="254"/>
      <c r="E20" s="254"/>
      <c r="F20" s="254"/>
      <c r="G20" s="254"/>
      <c r="H20" s="255"/>
      <c r="AB20" s="256"/>
      <c r="AC20" s="256"/>
      <c r="AD20" s="256"/>
      <c r="AE20" s="256"/>
      <c r="AF20" s="256"/>
    </row>
    <row r="21" spans="2:34" s="258" customFormat="1" ht="46.5" customHeight="1">
      <c r="B21" s="985" t="s">
        <v>383</v>
      </c>
      <c r="C21" s="986"/>
      <c r="D21" s="986"/>
      <c r="E21" s="986"/>
      <c r="F21" s="986"/>
      <c r="G21" s="986"/>
      <c r="H21" s="987"/>
      <c r="I21" s="257"/>
      <c r="J21" s="257"/>
      <c r="K21" s="257"/>
      <c r="L21" s="257"/>
      <c r="M21" s="257"/>
      <c r="N21" s="257"/>
      <c r="O21" s="257"/>
      <c r="P21" s="257"/>
      <c r="Q21" s="257"/>
      <c r="R21" s="257"/>
      <c r="S21" s="257"/>
      <c r="T21" s="257"/>
      <c r="U21" s="946"/>
      <c r="V21" s="946"/>
      <c r="W21" s="946"/>
      <c r="X21" s="257"/>
      <c r="Y21" s="257"/>
      <c r="Z21" s="257"/>
      <c r="AA21" s="257"/>
      <c r="AB21" s="257"/>
      <c r="AC21" s="257"/>
      <c r="AD21" s="257"/>
      <c r="AE21" s="257"/>
      <c r="AF21" s="257"/>
    </row>
    <row r="22" spans="2:34" s="258" customFormat="1" ht="15">
      <c r="B22" s="259"/>
      <c r="C22" s="260"/>
      <c r="D22" s="260"/>
      <c r="E22" s="260"/>
      <c r="F22" s="260"/>
      <c r="G22" s="260"/>
      <c r="H22" s="261"/>
      <c r="I22" s="257"/>
      <c r="J22" s="257"/>
      <c r="K22" s="257"/>
      <c r="L22" s="257"/>
      <c r="M22" s="257"/>
      <c r="N22" s="257"/>
      <c r="O22" s="257"/>
      <c r="P22" s="257"/>
      <c r="Q22" s="257"/>
      <c r="R22" s="257"/>
      <c r="S22" s="257"/>
      <c r="T22" s="257"/>
      <c r="U22" s="946"/>
      <c r="V22" s="946"/>
      <c r="W22" s="946"/>
      <c r="X22" s="257"/>
      <c r="Y22" s="257"/>
      <c r="Z22" s="257"/>
      <c r="AA22" s="257"/>
      <c r="AB22" s="257"/>
      <c r="AC22" s="257"/>
      <c r="AD22" s="257"/>
      <c r="AE22" s="257"/>
      <c r="AF22" s="257"/>
    </row>
    <row r="23" spans="2:34" s="258" customFormat="1" ht="15.75" customHeight="1">
      <c r="B23" s="262" t="s">
        <v>386</v>
      </c>
      <c r="C23" s="260"/>
      <c r="D23" s="260"/>
      <c r="E23" s="260"/>
      <c r="F23" s="260"/>
      <c r="G23" s="260"/>
      <c r="H23" s="261"/>
      <c r="I23" s="257"/>
      <c r="J23" s="257"/>
      <c r="K23" s="257"/>
      <c r="L23" s="263" t="s">
        <v>289</v>
      </c>
      <c r="M23" s="263" t="s">
        <v>215</v>
      </c>
      <c r="N23" s="263" t="s">
        <v>217</v>
      </c>
      <c r="O23" s="263" t="s">
        <v>219</v>
      </c>
      <c r="P23" s="263" t="s">
        <v>218</v>
      </c>
      <c r="Q23" s="263" t="s">
        <v>220</v>
      </c>
      <c r="R23" s="263" t="s">
        <v>221</v>
      </c>
      <c r="S23" s="263" t="s">
        <v>216</v>
      </c>
      <c r="T23" s="257"/>
      <c r="U23" s="946"/>
      <c r="V23" s="946"/>
      <c r="W23" s="946"/>
      <c r="X23" s="257"/>
      <c r="Y23" s="257"/>
      <c r="Z23" s="257"/>
      <c r="AA23" s="257"/>
      <c r="AB23" s="257"/>
      <c r="AC23" s="257"/>
      <c r="AD23" s="257"/>
      <c r="AE23" s="257"/>
      <c r="AF23" s="257"/>
    </row>
    <row r="24" spans="2:34" ht="13.5" thickBot="1">
      <c r="B24" s="264"/>
      <c r="C24" s="235"/>
      <c r="D24" s="235"/>
      <c r="E24" s="265"/>
      <c r="F24" s="265"/>
      <c r="G24" s="235"/>
      <c r="H24" s="266"/>
      <c r="L24" s="267">
        <f>D17</f>
        <v>0</v>
      </c>
      <c r="M24" s="268">
        <f t="shared" ref="M24:M49" si="2">IF(L24&lt;=$F$26,0,VLOOKUP(L24,$C$41:$F$50,4))</f>
        <v>0</v>
      </c>
      <c r="N24" s="256">
        <f>IF(L24&lt;=$F$26,0,VLOOKUP(L24,$C$41:$F$50,1)-1)</f>
        <v>0</v>
      </c>
      <c r="O24" s="256">
        <f>L24-N24</f>
        <v>0</v>
      </c>
      <c r="P24" s="268">
        <v>0</v>
      </c>
      <c r="Q24" s="256">
        <f>1000-O24</f>
        <v>1000</v>
      </c>
      <c r="R24" s="268">
        <f>M24*(O24/1000)+P24*(Q24/1000)</f>
        <v>0</v>
      </c>
      <c r="S24" s="268">
        <f>IF(D26="",D27,D26)</f>
        <v>5</v>
      </c>
      <c r="AB24" s="256"/>
      <c r="AC24" s="256"/>
      <c r="AD24" s="256"/>
      <c r="AE24" s="256"/>
      <c r="AF24" s="256"/>
    </row>
    <row r="25" spans="2:34" ht="14.25">
      <c r="B25" s="234"/>
      <c r="C25" s="269" t="s">
        <v>282</v>
      </c>
      <c r="D25" s="504" t="str">
        <f>BillingPeriod&amp;" Base Charge"</f>
        <v>Monthly Base Charge</v>
      </c>
      <c r="E25" s="270"/>
      <c r="F25" s="271" t="s">
        <v>290</v>
      </c>
      <c r="G25" s="272"/>
      <c r="H25" s="266"/>
      <c r="L25" s="267">
        <v>1000</v>
      </c>
      <c r="M25" s="268">
        <f t="shared" si="2"/>
        <v>2.5</v>
      </c>
      <c r="N25" s="256">
        <f t="shared" ref="N25:N49" si="3">IF(L25&lt;=$F$26,L24,MAX(L24,VLOOKUP(L25,$C$41:$F$50,1)-1))</f>
        <v>0</v>
      </c>
      <c r="O25" s="256">
        <f t="shared" ref="O25:O49" si="4">L25-N25</f>
        <v>1000</v>
      </c>
      <c r="P25" s="268">
        <f t="shared" ref="P25:P49" si="5">M24</f>
        <v>0</v>
      </c>
      <c r="Q25" s="256">
        <f t="shared" ref="Q25:Q49" si="6">1000-O25</f>
        <v>0</v>
      </c>
      <c r="R25" s="268">
        <f t="shared" ref="R25:R49" si="7">M25*(O25/1000)+P25*(Q25/1000)</f>
        <v>2.5</v>
      </c>
      <c r="S25" s="268">
        <f t="shared" ref="S25:S49" si="8">S24+R25</f>
        <v>7.5</v>
      </c>
      <c r="AB25" s="256"/>
      <c r="AC25" s="256"/>
      <c r="AD25" s="256"/>
      <c r="AE25" s="256"/>
      <c r="AF25" s="256"/>
    </row>
    <row r="26" spans="2:34" ht="14.25">
      <c r="B26" s="234"/>
      <c r="C26" s="273" t="s">
        <v>283</v>
      </c>
      <c r="D26" s="35">
        <v>5</v>
      </c>
      <c r="E26" s="274" t="s">
        <v>28</v>
      </c>
      <c r="F26" s="37">
        <v>0</v>
      </c>
      <c r="G26" s="275" t="str">
        <f>"gallons"&amp;$D$11</f>
        <v>gallons/month</v>
      </c>
      <c r="H26" s="266"/>
      <c r="L26" s="267">
        <v>2000</v>
      </c>
      <c r="M26" s="268">
        <f t="shared" si="2"/>
        <v>2.5</v>
      </c>
      <c r="N26" s="256">
        <f t="shared" si="3"/>
        <v>1000</v>
      </c>
      <c r="O26" s="256">
        <f t="shared" si="4"/>
        <v>1000</v>
      </c>
      <c r="P26" s="268">
        <f t="shared" si="5"/>
        <v>2.5</v>
      </c>
      <c r="Q26" s="256">
        <f t="shared" si="6"/>
        <v>0</v>
      </c>
      <c r="R26" s="268">
        <f t="shared" si="7"/>
        <v>2.5</v>
      </c>
      <c r="S26" s="268">
        <f t="shared" si="8"/>
        <v>10</v>
      </c>
      <c r="AB26" s="256"/>
      <c r="AC26" s="256"/>
      <c r="AD26" s="256"/>
      <c r="AE26" s="256"/>
      <c r="AF26" s="256"/>
    </row>
    <row r="27" spans="2:34" ht="15" thickBot="1">
      <c r="B27" s="234"/>
      <c r="C27" s="276" t="s">
        <v>18</v>
      </c>
      <c r="D27" s="39">
        <v>5</v>
      </c>
      <c r="E27" s="277" t="s">
        <v>28</v>
      </c>
      <c r="F27" s="40">
        <v>0</v>
      </c>
      <c r="G27" s="278" t="str">
        <f t="shared" ref="G27:G36" si="9">"gallons"&amp;$D$11</f>
        <v>gallons/month</v>
      </c>
      <c r="H27" s="266"/>
      <c r="L27" s="267">
        <v>3000</v>
      </c>
      <c r="M27" s="268">
        <f t="shared" si="2"/>
        <v>2.5</v>
      </c>
      <c r="N27" s="256">
        <f t="shared" si="3"/>
        <v>2000</v>
      </c>
      <c r="O27" s="256">
        <f t="shared" si="4"/>
        <v>1000</v>
      </c>
      <c r="P27" s="268">
        <f t="shared" si="5"/>
        <v>2.5</v>
      </c>
      <c r="Q27" s="256">
        <f t="shared" si="6"/>
        <v>0</v>
      </c>
      <c r="R27" s="268">
        <f t="shared" si="7"/>
        <v>2.5</v>
      </c>
      <c r="S27" s="268">
        <f t="shared" si="8"/>
        <v>12.5</v>
      </c>
      <c r="AB27" s="256"/>
      <c r="AC27" s="256"/>
      <c r="AD27" s="256"/>
      <c r="AE27" s="256"/>
      <c r="AF27" s="256"/>
    </row>
    <row r="28" spans="2:34" hidden="1">
      <c r="B28" s="234"/>
      <c r="C28" s="500" t="s">
        <v>19</v>
      </c>
      <c r="D28" s="279">
        <v>5</v>
      </c>
      <c r="E28" s="235" t="s">
        <v>28</v>
      </c>
      <c r="F28" s="280">
        <v>0</v>
      </c>
      <c r="G28" s="235" t="str">
        <f t="shared" si="9"/>
        <v>gallons/month</v>
      </c>
      <c r="H28" s="266"/>
      <c r="L28" s="267">
        <v>4000</v>
      </c>
      <c r="M28" s="268">
        <f t="shared" si="2"/>
        <v>2.5</v>
      </c>
      <c r="N28" s="256">
        <f t="shared" si="3"/>
        <v>3000</v>
      </c>
      <c r="O28" s="256">
        <f t="shared" si="4"/>
        <v>1000</v>
      </c>
      <c r="P28" s="268">
        <f t="shared" si="5"/>
        <v>2.5</v>
      </c>
      <c r="Q28" s="256">
        <f t="shared" si="6"/>
        <v>0</v>
      </c>
      <c r="R28" s="268">
        <f t="shared" si="7"/>
        <v>2.5</v>
      </c>
      <c r="S28" s="268">
        <f t="shared" si="8"/>
        <v>15</v>
      </c>
      <c r="AB28" s="256"/>
      <c r="AC28" s="256"/>
      <c r="AD28" s="256"/>
      <c r="AE28" s="256"/>
      <c r="AF28" s="256"/>
    </row>
    <row r="29" spans="2:34" hidden="1">
      <c r="B29" s="234"/>
      <c r="C29" s="500" t="s">
        <v>22</v>
      </c>
      <c r="D29" s="279">
        <v>5</v>
      </c>
      <c r="E29" s="235" t="s">
        <v>28</v>
      </c>
      <c r="F29" s="280">
        <v>0</v>
      </c>
      <c r="G29" s="235" t="str">
        <f t="shared" si="9"/>
        <v>gallons/month</v>
      </c>
      <c r="H29" s="266"/>
      <c r="L29" s="267">
        <v>5000</v>
      </c>
      <c r="M29" s="268">
        <f t="shared" si="2"/>
        <v>2.5</v>
      </c>
      <c r="N29" s="256">
        <f t="shared" si="3"/>
        <v>4000</v>
      </c>
      <c r="O29" s="256">
        <f t="shared" si="4"/>
        <v>1000</v>
      </c>
      <c r="P29" s="268">
        <f t="shared" si="5"/>
        <v>2.5</v>
      </c>
      <c r="Q29" s="256">
        <f t="shared" si="6"/>
        <v>0</v>
      </c>
      <c r="R29" s="268">
        <f t="shared" si="7"/>
        <v>2.5</v>
      </c>
      <c r="S29" s="268">
        <f t="shared" si="8"/>
        <v>17.5</v>
      </c>
      <c r="AB29" s="256"/>
      <c r="AC29" s="256"/>
      <c r="AD29" s="256"/>
      <c r="AE29" s="256"/>
      <c r="AF29" s="256"/>
    </row>
    <row r="30" spans="2:34" hidden="1">
      <c r="B30" s="234"/>
      <c r="C30" s="500" t="s">
        <v>20</v>
      </c>
      <c r="D30" s="279">
        <v>5</v>
      </c>
      <c r="E30" s="235" t="s">
        <v>28</v>
      </c>
      <c r="F30" s="280">
        <v>0</v>
      </c>
      <c r="G30" s="235" t="str">
        <f t="shared" si="9"/>
        <v>gallons/month</v>
      </c>
      <c r="H30" s="266"/>
      <c r="L30" s="267">
        <v>6000</v>
      </c>
      <c r="M30" s="268">
        <f t="shared" si="2"/>
        <v>2.5</v>
      </c>
      <c r="N30" s="256">
        <f t="shared" si="3"/>
        <v>5000</v>
      </c>
      <c r="O30" s="256">
        <f t="shared" si="4"/>
        <v>1000</v>
      </c>
      <c r="P30" s="268">
        <f t="shared" si="5"/>
        <v>2.5</v>
      </c>
      <c r="Q30" s="256">
        <f t="shared" si="6"/>
        <v>0</v>
      </c>
      <c r="R30" s="268">
        <f t="shared" si="7"/>
        <v>2.5</v>
      </c>
      <c r="S30" s="268">
        <f t="shared" si="8"/>
        <v>20</v>
      </c>
      <c r="AB30" s="256"/>
      <c r="AC30" s="256"/>
      <c r="AD30" s="256"/>
      <c r="AE30" s="256"/>
      <c r="AF30" s="256"/>
    </row>
    <row r="31" spans="2:34" hidden="1">
      <c r="B31" s="234"/>
      <c r="C31" s="500" t="s">
        <v>21</v>
      </c>
      <c r="D31" s="279">
        <v>5</v>
      </c>
      <c r="E31" s="235" t="s">
        <v>28</v>
      </c>
      <c r="F31" s="280">
        <v>0</v>
      </c>
      <c r="G31" s="235" t="str">
        <f t="shared" si="9"/>
        <v>gallons/month</v>
      </c>
      <c r="H31" s="266"/>
      <c r="L31" s="267">
        <v>7000</v>
      </c>
      <c r="M31" s="268">
        <f t="shared" si="2"/>
        <v>2.5</v>
      </c>
      <c r="N31" s="256">
        <f t="shared" si="3"/>
        <v>6000</v>
      </c>
      <c r="O31" s="256">
        <f t="shared" si="4"/>
        <v>1000</v>
      </c>
      <c r="P31" s="268">
        <f t="shared" si="5"/>
        <v>2.5</v>
      </c>
      <c r="Q31" s="256">
        <f t="shared" si="6"/>
        <v>0</v>
      </c>
      <c r="R31" s="268">
        <f t="shared" si="7"/>
        <v>2.5</v>
      </c>
      <c r="S31" s="268">
        <f t="shared" si="8"/>
        <v>22.5</v>
      </c>
      <c r="AB31" s="256"/>
      <c r="AC31" s="256"/>
      <c r="AD31" s="256"/>
      <c r="AE31" s="256"/>
      <c r="AF31" s="256"/>
    </row>
    <row r="32" spans="2:34" hidden="1">
      <c r="B32" s="234"/>
      <c r="C32" s="500" t="s">
        <v>23</v>
      </c>
      <c r="D32" s="279">
        <v>5</v>
      </c>
      <c r="E32" s="235" t="s">
        <v>28</v>
      </c>
      <c r="F32" s="280">
        <v>0</v>
      </c>
      <c r="G32" s="235" t="str">
        <f t="shared" si="9"/>
        <v>gallons/month</v>
      </c>
      <c r="H32" s="266"/>
      <c r="L32" s="267">
        <v>8000</v>
      </c>
      <c r="M32" s="268">
        <f t="shared" si="2"/>
        <v>2.5</v>
      </c>
      <c r="N32" s="256">
        <f t="shared" si="3"/>
        <v>7000</v>
      </c>
      <c r="O32" s="256">
        <f t="shared" si="4"/>
        <v>1000</v>
      </c>
      <c r="P32" s="268">
        <f t="shared" si="5"/>
        <v>2.5</v>
      </c>
      <c r="Q32" s="256">
        <f t="shared" si="6"/>
        <v>0</v>
      </c>
      <c r="R32" s="268">
        <f t="shared" si="7"/>
        <v>2.5</v>
      </c>
      <c r="S32" s="268">
        <f t="shared" si="8"/>
        <v>25</v>
      </c>
      <c r="AB32" s="256"/>
      <c r="AC32" s="256"/>
      <c r="AD32" s="256"/>
      <c r="AE32" s="256"/>
      <c r="AF32" s="256"/>
    </row>
    <row r="33" spans="2:32" hidden="1">
      <c r="B33" s="234"/>
      <c r="C33" s="500" t="s">
        <v>24</v>
      </c>
      <c r="D33" s="279">
        <v>5</v>
      </c>
      <c r="E33" s="235" t="s">
        <v>28</v>
      </c>
      <c r="F33" s="280">
        <v>0</v>
      </c>
      <c r="G33" s="235" t="str">
        <f t="shared" si="9"/>
        <v>gallons/month</v>
      </c>
      <c r="H33" s="266"/>
      <c r="L33" s="267">
        <v>9000</v>
      </c>
      <c r="M33" s="268">
        <f t="shared" si="2"/>
        <v>2.5</v>
      </c>
      <c r="N33" s="256">
        <f t="shared" si="3"/>
        <v>8000</v>
      </c>
      <c r="O33" s="256">
        <f t="shared" si="4"/>
        <v>1000</v>
      </c>
      <c r="P33" s="268">
        <f t="shared" si="5"/>
        <v>2.5</v>
      </c>
      <c r="Q33" s="256">
        <f t="shared" si="6"/>
        <v>0</v>
      </c>
      <c r="R33" s="268">
        <f t="shared" si="7"/>
        <v>2.5</v>
      </c>
      <c r="S33" s="268">
        <f t="shared" si="8"/>
        <v>27.5</v>
      </c>
      <c r="AB33" s="256"/>
      <c r="AC33" s="256"/>
      <c r="AD33" s="256"/>
      <c r="AE33" s="256"/>
      <c r="AF33" s="256"/>
    </row>
    <row r="34" spans="2:32" hidden="1">
      <c r="B34" s="234"/>
      <c r="C34" s="500" t="s">
        <v>25</v>
      </c>
      <c r="D34" s="279">
        <v>5</v>
      </c>
      <c r="E34" s="235" t="s">
        <v>28</v>
      </c>
      <c r="F34" s="280">
        <v>0</v>
      </c>
      <c r="G34" s="235" t="str">
        <f t="shared" si="9"/>
        <v>gallons/month</v>
      </c>
      <c r="H34" s="266"/>
      <c r="L34" s="267">
        <v>10000</v>
      </c>
      <c r="M34" s="268">
        <f t="shared" si="2"/>
        <v>2.5</v>
      </c>
      <c r="N34" s="256">
        <f t="shared" si="3"/>
        <v>9000</v>
      </c>
      <c r="O34" s="256">
        <f t="shared" si="4"/>
        <v>1000</v>
      </c>
      <c r="P34" s="268">
        <f t="shared" si="5"/>
        <v>2.5</v>
      </c>
      <c r="Q34" s="256">
        <f t="shared" si="6"/>
        <v>0</v>
      </c>
      <c r="R34" s="268">
        <f t="shared" si="7"/>
        <v>2.5</v>
      </c>
      <c r="S34" s="268">
        <f t="shared" si="8"/>
        <v>30</v>
      </c>
      <c r="AB34" s="256"/>
      <c r="AC34" s="256"/>
      <c r="AD34" s="256"/>
      <c r="AE34" s="256"/>
      <c r="AF34" s="256"/>
    </row>
    <row r="35" spans="2:32" hidden="1">
      <c r="B35" s="234"/>
      <c r="C35" s="500" t="s">
        <v>26</v>
      </c>
      <c r="D35" s="279">
        <v>5</v>
      </c>
      <c r="E35" s="235" t="s">
        <v>28</v>
      </c>
      <c r="F35" s="280">
        <v>0</v>
      </c>
      <c r="G35" s="235" t="str">
        <f t="shared" si="9"/>
        <v>gallons/month</v>
      </c>
      <c r="H35" s="266"/>
      <c r="L35" s="267">
        <v>11000</v>
      </c>
      <c r="M35" s="268">
        <f t="shared" si="2"/>
        <v>2.5</v>
      </c>
      <c r="N35" s="256">
        <f t="shared" si="3"/>
        <v>10000</v>
      </c>
      <c r="O35" s="256">
        <f t="shared" si="4"/>
        <v>1000</v>
      </c>
      <c r="P35" s="268">
        <f t="shared" si="5"/>
        <v>2.5</v>
      </c>
      <c r="Q35" s="256">
        <f t="shared" si="6"/>
        <v>0</v>
      </c>
      <c r="R35" s="268">
        <f t="shared" si="7"/>
        <v>2.5</v>
      </c>
      <c r="S35" s="268">
        <f t="shared" si="8"/>
        <v>32.5</v>
      </c>
      <c r="AB35" s="256"/>
      <c r="AC35" s="256"/>
      <c r="AD35" s="256"/>
      <c r="AE35" s="256"/>
      <c r="AF35" s="256"/>
    </row>
    <row r="36" spans="2:32" hidden="1">
      <c r="B36" s="234"/>
      <c r="C36" s="500" t="s">
        <v>27</v>
      </c>
      <c r="D36" s="279">
        <v>5</v>
      </c>
      <c r="E36" s="235" t="s">
        <v>28</v>
      </c>
      <c r="F36" s="280">
        <v>0</v>
      </c>
      <c r="G36" s="235" t="str">
        <f t="shared" si="9"/>
        <v>gallons/month</v>
      </c>
      <c r="H36" s="266"/>
      <c r="L36" s="267">
        <v>12000</v>
      </c>
      <c r="M36" s="268">
        <f t="shared" si="2"/>
        <v>2.5</v>
      </c>
      <c r="N36" s="256">
        <f t="shared" si="3"/>
        <v>11000</v>
      </c>
      <c r="O36" s="256">
        <f t="shared" si="4"/>
        <v>1000</v>
      </c>
      <c r="P36" s="268">
        <f t="shared" si="5"/>
        <v>2.5</v>
      </c>
      <c r="Q36" s="256">
        <f t="shared" si="6"/>
        <v>0</v>
      </c>
      <c r="R36" s="268">
        <f t="shared" si="7"/>
        <v>2.5</v>
      </c>
      <c r="S36" s="268">
        <f t="shared" si="8"/>
        <v>35</v>
      </c>
      <c r="AB36" s="256"/>
      <c r="AC36" s="256"/>
      <c r="AD36" s="256"/>
      <c r="AE36" s="256"/>
      <c r="AF36" s="256"/>
    </row>
    <row r="37" spans="2:32">
      <c r="B37" s="234"/>
      <c r="C37" s="235"/>
      <c r="D37" s="235"/>
      <c r="E37" s="235"/>
      <c r="F37" s="281"/>
      <c r="G37" s="235"/>
      <c r="H37" s="237"/>
      <c r="L37" s="267">
        <v>13000</v>
      </c>
      <c r="M37" s="268">
        <f t="shared" si="2"/>
        <v>2.5</v>
      </c>
      <c r="N37" s="256">
        <f t="shared" si="3"/>
        <v>12000</v>
      </c>
      <c r="O37" s="256">
        <f t="shared" si="4"/>
        <v>1000</v>
      </c>
      <c r="P37" s="268">
        <f t="shared" si="5"/>
        <v>2.5</v>
      </c>
      <c r="Q37" s="256">
        <f t="shared" si="6"/>
        <v>0</v>
      </c>
      <c r="R37" s="268">
        <f t="shared" si="7"/>
        <v>2.5</v>
      </c>
      <c r="S37" s="268">
        <f t="shared" si="8"/>
        <v>37.5</v>
      </c>
      <c r="AB37" s="256"/>
      <c r="AC37" s="256"/>
      <c r="AD37" s="256"/>
      <c r="AE37" s="256"/>
      <c r="AF37" s="256"/>
    </row>
    <row r="38" spans="2:32" ht="15.75">
      <c r="B38" s="262" t="s">
        <v>284</v>
      </c>
      <c r="C38" s="235"/>
      <c r="D38" s="235"/>
      <c r="E38" s="235"/>
      <c r="F38" s="235"/>
      <c r="G38" s="235"/>
      <c r="H38" s="237"/>
      <c r="L38" s="267">
        <v>14000</v>
      </c>
      <c r="M38" s="268">
        <f t="shared" si="2"/>
        <v>2.5</v>
      </c>
      <c r="N38" s="256">
        <f t="shared" si="3"/>
        <v>13000</v>
      </c>
      <c r="O38" s="256">
        <f t="shared" si="4"/>
        <v>1000</v>
      </c>
      <c r="P38" s="268">
        <f t="shared" si="5"/>
        <v>2.5</v>
      </c>
      <c r="Q38" s="256">
        <f t="shared" si="6"/>
        <v>0</v>
      </c>
      <c r="R38" s="268">
        <f t="shared" si="7"/>
        <v>2.5</v>
      </c>
      <c r="S38" s="268">
        <f t="shared" si="8"/>
        <v>40</v>
      </c>
      <c r="AB38" s="256"/>
      <c r="AC38" s="256"/>
      <c r="AD38" s="256"/>
      <c r="AE38" s="256"/>
      <c r="AF38" s="256"/>
    </row>
    <row r="39" spans="2:32" ht="13.5" thickBot="1">
      <c r="B39" s="991"/>
      <c r="C39" s="992"/>
      <c r="D39" s="235"/>
      <c r="E39" s="235"/>
      <c r="F39" s="235"/>
      <c r="G39" s="235"/>
      <c r="H39" s="237"/>
      <c r="L39" s="267">
        <v>15000</v>
      </c>
      <c r="M39" s="268">
        <f t="shared" si="2"/>
        <v>2.5</v>
      </c>
      <c r="N39" s="256">
        <f t="shared" si="3"/>
        <v>14000</v>
      </c>
      <c r="O39" s="256">
        <f t="shared" si="4"/>
        <v>1000</v>
      </c>
      <c r="P39" s="268">
        <f t="shared" si="5"/>
        <v>2.5</v>
      </c>
      <c r="Q39" s="256">
        <f t="shared" si="6"/>
        <v>0</v>
      </c>
      <c r="R39" s="268">
        <f t="shared" si="7"/>
        <v>2.5</v>
      </c>
      <c r="S39" s="268">
        <f t="shared" si="8"/>
        <v>42.5</v>
      </c>
      <c r="AB39" s="256"/>
      <c r="AC39" s="256"/>
      <c r="AD39" s="256"/>
      <c r="AE39" s="256"/>
      <c r="AF39" s="256"/>
    </row>
    <row r="40" spans="2:32" s="285" customFormat="1" ht="76.5" customHeight="1">
      <c r="B40" s="282" t="s">
        <v>286</v>
      </c>
      <c r="C40" s="498" t="str">
        <f>"Monthly volume at the start of the block 
("&amp;G26&amp;")"</f>
        <v>Monthly volume at the start of the block 
(gallons/month)</v>
      </c>
      <c r="D40" s="498" t="str">
        <f>"Monthly volume at the end of the block ("&amp;G26&amp;"). Leave blank if not applicable."</f>
        <v>Monthly volume at the end of the block (gallons/month). Leave blank if not applicable.</v>
      </c>
      <c r="E40" s="498" t="s">
        <v>287</v>
      </c>
      <c r="F40" s="989" t="s">
        <v>288</v>
      </c>
      <c r="G40" s="990"/>
      <c r="H40" s="283"/>
      <c r="I40" s="284" t="s">
        <v>222</v>
      </c>
      <c r="J40" s="284" t="s">
        <v>223</v>
      </c>
      <c r="K40" s="284"/>
      <c r="L40" s="267">
        <v>16000</v>
      </c>
      <c r="M40" s="268">
        <f t="shared" si="2"/>
        <v>2.5</v>
      </c>
      <c r="N40" s="256">
        <f t="shared" si="3"/>
        <v>15000</v>
      </c>
      <c r="O40" s="256">
        <f t="shared" si="4"/>
        <v>1000</v>
      </c>
      <c r="P40" s="268">
        <f>M39</f>
        <v>2.5</v>
      </c>
      <c r="Q40" s="256">
        <f t="shared" si="6"/>
        <v>0</v>
      </c>
      <c r="R40" s="268">
        <f t="shared" si="7"/>
        <v>2.5</v>
      </c>
      <c r="S40" s="268">
        <f>S39+R40</f>
        <v>45</v>
      </c>
      <c r="T40" s="284"/>
      <c r="U40" s="947"/>
      <c r="V40" s="947"/>
      <c r="W40" s="947"/>
      <c r="X40" s="284"/>
      <c r="Y40" s="284"/>
      <c r="Z40" s="284"/>
      <c r="AA40" s="284"/>
      <c r="AB40" s="284"/>
      <c r="AC40" s="284"/>
      <c r="AD40" s="284"/>
      <c r="AE40" s="284"/>
      <c r="AF40" s="284"/>
    </row>
    <row r="41" spans="2:32" ht="14.25">
      <c r="B41" s="273">
        <v>1</v>
      </c>
      <c r="C41" s="505">
        <f>F26+1</f>
        <v>1</v>
      </c>
      <c r="D41" s="506"/>
      <c r="E41" s="286" t="str">
        <f>IF(D41&gt;0,"From "&amp;C41&amp;" to "&amp;D41&amp;" "&amp;$D$12&amp;$D$11,IF(C41="","","All consumption above "&amp;C41-1&amp;" "&amp;$D$12&amp;$D$11))</f>
        <v>All consumption above 0 gallons/month</v>
      </c>
      <c r="F41" s="38">
        <v>2.5</v>
      </c>
      <c r="G41" s="275" t="str">
        <f t="shared" ref="G41:G50" si="10">IF(AND(C41="",D41=""),"",Units)</f>
        <v>per 1,000 gallons</v>
      </c>
      <c r="H41" s="237"/>
      <c r="I41" s="268" t="str">
        <f>IF(D41="","",F41*(D41-C41+1)/1000)</f>
        <v/>
      </c>
      <c r="L41" s="267">
        <v>17000</v>
      </c>
      <c r="M41" s="268">
        <f t="shared" si="2"/>
        <v>2.5</v>
      </c>
      <c r="N41" s="256">
        <f t="shared" si="3"/>
        <v>16000</v>
      </c>
      <c r="O41" s="256">
        <f t="shared" si="4"/>
        <v>1000</v>
      </c>
      <c r="P41" s="268">
        <f t="shared" si="5"/>
        <v>2.5</v>
      </c>
      <c r="Q41" s="256">
        <f t="shared" si="6"/>
        <v>0</v>
      </c>
      <c r="R41" s="268">
        <f t="shared" si="7"/>
        <v>2.5</v>
      </c>
      <c r="S41" s="268">
        <f t="shared" si="8"/>
        <v>47.5</v>
      </c>
      <c r="AB41" s="256"/>
      <c r="AC41" s="256"/>
      <c r="AD41" s="256"/>
      <c r="AE41" s="256"/>
      <c r="AF41" s="256"/>
    </row>
    <row r="42" spans="2:32" ht="14.25">
      <c r="B42" s="273">
        <v>2</v>
      </c>
      <c r="C42" s="505" t="str">
        <f>IF(D41&gt;0,D41+1,"")</f>
        <v/>
      </c>
      <c r="D42" s="506"/>
      <c r="E42" s="286" t="str">
        <f t="shared" ref="E42:E50" si="11">IF(D42&gt;0,"From "&amp;C42&amp;" to "&amp;D42&amp;" "&amp;$D$12&amp;$D$11,IF(C42="","","All consumption above "&amp;C42-1&amp;" "&amp;$D$12&amp;$D$11))</f>
        <v/>
      </c>
      <c r="F42" s="38"/>
      <c r="G42" s="275" t="str">
        <f t="shared" si="10"/>
        <v/>
      </c>
      <c r="H42" s="237"/>
      <c r="I42" s="268" t="str">
        <f t="shared" ref="I42:I50" si="12">IF(D42="","",F42*(D42-C42+1)/1000)</f>
        <v/>
      </c>
      <c r="J42" s="268" t="str">
        <f>IF(I41="","",I41+IF(D26="",D27,D26))</f>
        <v/>
      </c>
      <c r="L42" s="267">
        <v>18000</v>
      </c>
      <c r="M42" s="268">
        <f t="shared" si="2"/>
        <v>2.5</v>
      </c>
      <c r="N42" s="256">
        <f t="shared" si="3"/>
        <v>17000</v>
      </c>
      <c r="O42" s="256">
        <f t="shared" si="4"/>
        <v>1000</v>
      </c>
      <c r="P42" s="268">
        <f t="shared" si="5"/>
        <v>2.5</v>
      </c>
      <c r="Q42" s="256">
        <f t="shared" si="6"/>
        <v>0</v>
      </c>
      <c r="R42" s="268">
        <f t="shared" si="7"/>
        <v>2.5</v>
      </c>
      <c r="S42" s="268">
        <f t="shared" si="8"/>
        <v>50</v>
      </c>
      <c r="AB42" s="256"/>
      <c r="AC42" s="256"/>
      <c r="AD42" s="256"/>
      <c r="AE42" s="256"/>
      <c r="AF42" s="256"/>
    </row>
    <row r="43" spans="2:32" ht="14.25">
      <c r="B43" s="273">
        <v>3</v>
      </c>
      <c r="C43" s="505" t="str">
        <f t="shared" ref="C43:C50" si="13">IF(D42&gt;0,D42+1,"")</f>
        <v/>
      </c>
      <c r="D43" s="506"/>
      <c r="E43" s="286" t="str">
        <f t="shared" si="11"/>
        <v/>
      </c>
      <c r="F43" s="38"/>
      <c r="G43" s="275" t="str">
        <f t="shared" si="10"/>
        <v/>
      </c>
      <c r="H43" s="237"/>
      <c r="I43" s="268" t="str">
        <f t="shared" si="12"/>
        <v/>
      </c>
      <c r="J43" s="268" t="str">
        <f>IF(I42="","",I42+J42)</f>
        <v/>
      </c>
      <c r="L43" s="267">
        <v>19000</v>
      </c>
      <c r="M43" s="268">
        <f t="shared" si="2"/>
        <v>2.5</v>
      </c>
      <c r="N43" s="256">
        <f t="shared" si="3"/>
        <v>18000</v>
      </c>
      <c r="O43" s="256">
        <f t="shared" si="4"/>
        <v>1000</v>
      </c>
      <c r="P43" s="268">
        <f t="shared" si="5"/>
        <v>2.5</v>
      </c>
      <c r="Q43" s="256">
        <f t="shared" si="6"/>
        <v>0</v>
      </c>
      <c r="R43" s="268">
        <f t="shared" si="7"/>
        <v>2.5</v>
      </c>
      <c r="S43" s="268">
        <f t="shared" si="8"/>
        <v>52.5</v>
      </c>
      <c r="AB43" s="256"/>
      <c r="AC43" s="256"/>
      <c r="AD43" s="256"/>
      <c r="AE43" s="256"/>
      <c r="AF43" s="256"/>
    </row>
    <row r="44" spans="2:32" ht="14.25">
      <c r="B44" s="273">
        <v>4</v>
      </c>
      <c r="C44" s="505" t="str">
        <f t="shared" si="13"/>
        <v/>
      </c>
      <c r="D44" s="506"/>
      <c r="E44" s="286" t="str">
        <f t="shared" si="11"/>
        <v/>
      </c>
      <c r="F44" s="38"/>
      <c r="G44" s="275" t="str">
        <f t="shared" si="10"/>
        <v/>
      </c>
      <c r="H44" s="237"/>
      <c r="I44" s="268" t="str">
        <f t="shared" si="12"/>
        <v/>
      </c>
      <c r="J44" s="268" t="str">
        <f t="shared" ref="J44:J50" si="14">IF(I43="","",I43+J43)</f>
        <v/>
      </c>
      <c r="L44" s="267">
        <v>20000</v>
      </c>
      <c r="M44" s="268">
        <f t="shared" si="2"/>
        <v>2.5</v>
      </c>
      <c r="N44" s="256">
        <f t="shared" si="3"/>
        <v>19000</v>
      </c>
      <c r="O44" s="256">
        <f t="shared" si="4"/>
        <v>1000</v>
      </c>
      <c r="P44" s="268">
        <f t="shared" si="5"/>
        <v>2.5</v>
      </c>
      <c r="Q44" s="256">
        <f t="shared" si="6"/>
        <v>0</v>
      </c>
      <c r="R44" s="268">
        <f t="shared" si="7"/>
        <v>2.5</v>
      </c>
      <c r="S44" s="268">
        <f t="shared" si="8"/>
        <v>55</v>
      </c>
      <c r="AB44" s="256"/>
      <c r="AC44" s="256"/>
      <c r="AD44" s="256"/>
      <c r="AE44" s="256"/>
      <c r="AF44" s="256"/>
    </row>
    <row r="45" spans="2:32" ht="14.25">
      <c r="B45" s="273">
        <v>5</v>
      </c>
      <c r="C45" s="505" t="str">
        <f t="shared" si="13"/>
        <v/>
      </c>
      <c r="D45" s="506"/>
      <c r="E45" s="286" t="str">
        <f t="shared" si="11"/>
        <v/>
      </c>
      <c r="F45" s="38"/>
      <c r="G45" s="275" t="str">
        <f t="shared" si="10"/>
        <v/>
      </c>
      <c r="H45" s="237"/>
      <c r="I45" s="268" t="str">
        <f t="shared" si="12"/>
        <v/>
      </c>
      <c r="J45" s="268" t="str">
        <f t="shared" si="14"/>
        <v/>
      </c>
      <c r="L45" s="267">
        <v>21000</v>
      </c>
      <c r="M45" s="268">
        <f t="shared" si="2"/>
        <v>2.5</v>
      </c>
      <c r="N45" s="256">
        <f t="shared" si="3"/>
        <v>20000</v>
      </c>
      <c r="O45" s="256">
        <f t="shared" si="4"/>
        <v>1000</v>
      </c>
      <c r="P45" s="268">
        <f t="shared" si="5"/>
        <v>2.5</v>
      </c>
      <c r="Q45" s="256">
        <f t="shared" si="6"/>
        <v>0</v>
      </c>
      <c r="R45" s="268">
        <f t="shared" si="7"/>
        <v>2.5</v>
      </c>
      <c r="S45" s="268">
        <f t="shared" si="8"/>
        <v>57.5</v>
      </c>
      <c r="AB45" s="256"/>
      <c r="AC45" s="256"/>
      <c r="AD45" s="256"/>
      <c r="AE45" s="256"/>
      <c r="AF45" s="256"/>
    </row>
    <row r="46" spans="2:32" ht="14.25">
      <c r="B46" s="273">
        <v>6</v>
      </c>
      <c r="C46" s="505" t="str">
        <f t="shared" si="13"/>
        <v/>
      </c>
      <c r="D46" s="506"/>
      <c r="E46" s="286" t="str">
        <f t="shared" si="11"/>
        <v/>
      </c>
      <c r="F46" s="38"/>
      <c r="G46" s="275" t="str">
        <f t="shared" si="10"/>
        <v/>
      </c>
      <c r="H46" s="237"/>
      <c r="I46" s="268" t="str">
        <f t="shared" si="12"/>
        <v/>
      </c>
      <c r="J46" s="268" t="str">
        <f t="shared" si="14"/>
        <v/>
      </c>
      <c r="L46" s="267">
        <v>22000</v>
      </c>
      <c r="M46" s="268">
        <f t="shared" si="2"/>
        <v>2.5</v>
      </c>
      <c r="N46" s="256">
        <f t="shared" si="3"/>
        <v>21000</v>
      </c>
      <c r="O46" s="256">
        <f t="shared" si="4"/>
        <v>1000</v>
      </c>
      <c r="P46" s="268">
        <f t="shared" si="5"/>
        <v>2.5</v>
      </c>
      <c r="Q46" s="256">
        <f t="shared" si="6"/>
        <v>0</v>
      </c>
      <c r="R46" s="268">
        <f t="shared" si="7"/>
        <v>2.5</v>
      </c>
      <c r="S46" s="268">
        <f t="shared" si="8"/>
        <v>60</v>
      </c>
      <c r="AB46" s="256"/>
      <c r="AC46" s="256"/>
      <c r="AD46" s="256"/>
      <c r="AE46" s="256"/>
      <c r="AF46" s="256"/>
    </row>
    <row r="47" spans="2:32" ht="14.25">
      <c r="B47" s="273">
        <v>7</v>
      </c>
      <c r="C47" s="505" t="str">
        <f t="shared" si="13"/>
        <v/>
      </c>
      <c r="D47" s="506"/>
      <c r="E47" s="286" t="str">
        <f t="shared" si="11"/>
        <v/>
      </c>
      <c r="F47" s="38"/>
      <c r="G47" s="275" t="str">
        <f t="shared" si="10"/>
        <v/>
      </c>
      <c r="H47" s="237"/>
      <c r="I47" s="268" t="str">
        <f t="shared" si="12"/>
        <v/>
      </c>
      <c r="J47" s="268" t="str">
        <f t="shared" si="14"/>
        <v/>
      </c>
      <c r="L47" s="267">
        <v>23000</v>
      </c>
      <c r="M47" s="268">
        <f t="shared" si="2"/>
        <v>2.5</v>
      </c>
      <c r="N47" s="256">
        <f t="shared" si="3"/>
        <v>22000</v>
      </c>
      <c r="O47" s="256">
        <f t="shared" si="4"/>
        <v>1000</v>
      </c>
      <c r="P47" s="268">
        <f t="shared" si="5"/>
        <v>2.5</v>
      </c>
      <c r="Q47" s="256">
        <f t="shared" si="6"/>
        <v>0</v>
      </c>
      <c r="R47" s="268">
        <f t="shared" si="7"/>
        <v>2.5</v>
      </c>
      <c r="S47" s="268">
        <f t="shared" si="8"/>
        <v>62.5</v>
      </c>
      <c r="AB47" s="256"/>
      <c r="AC47" s="256"/>
      <c r="AD47" s="256"/>
      <c r="AE47" s="256"/>
      <c r="AF47" s="256"/>
    </row>
    <row r="48" spans="2:32" ht="14.25">
      <c r="B48" s="273">
        <v>8</v>
      </c>
      <c r="C48" s="505" t="str">
        <f t="shared" si="13"/>
        <v/>
      </c>
      <c r="D48" s="506"/>
      <c r="E48" s="286" t="str">
        <f t="shared" si="11"/>
        <v/>
      </c>
      <c r="F48" s="38"/>
      <c r="G48" s="275" t="str">
        <f t="shared" si="10"/>
        <v/>
      </c>
      <c r="H48" s="237"/>
      <c r="I48" s="268" t="str">
        <f t="shared" si="12"/>
        <v/>
      </c>
      <c r="J48" s="268" t="str">
        <f t="shared" si="14"/>
        <v/>
      </c>
      <c r="L48" s="267">
        <v>24000</v>
      </c>
      <c r="M48" s="268">
        <f t="shared" si="2"/>
        <v>2.5</v>
      </c>
      <c r="N48" s="256">
        <f t="shared" si="3"/>
        <v>23000</v>
      </c>
      <c r="O48" s="256">
        <f t="shared" si="4"/>
        <v>1000</v>
      </c>
      <c r="P48" s="268">
        <f t="shared" si="5"/>
        <v>2.5</v>
      </c>
      <c r="Q48" s="256">
        <f t="shared" si="6"/>
        <v>0</v>
      </c>
      <c r="R48" s="268">
        <f t="shared" si="7"/>
        <v>2.5</v>
      </c>
      <c r="S48" s="268">
        <f t="shared" si="8"/>
        <v>65</v>
      </c>
      <c r="AB48" s="256"/>
      <c r="AC48" s="256"/>
      <c r="AD48" s="256"/>
      <c r="AE48" s="256"/>
      <c r="AF48" s="256"/>
    </row>
    <row r="49" spans="2:32" ht="14.25">
      <c r="B49" s="273">
        <v>9</v>
      </c>
      <c r="C49" s="505" t="str">
        <f t="shared" si="13"/>
        <v/>
      </c>
      <c r="D49" s="506"/>
      <c r="E49" s="286" t="str">
        <f t="shared" si="11"/>
        <v/>
      </c>
      <c r="F49" s="38"/>
      <c r="G49" s="275" t="str">
        <f t="shared" si="10"/>
        <v/>
      </c>
      <c r="H49" s="237"/>
      <c r="I49" s="268" t="str">
        <f t="shared" si="12"/>
        <v/>
      </c>
      <c r="J49" s="268" t="str">
        <f t="shared" si="14"/>
        <v/>
      </c>
      <c r="L49" s="267">
        <v>25000</v>
      </c>
      <c r="M49" s="268">
        <f t="shared" si="2"/>
        <v>2.5</v>
      </c>
      <c r="N49" s="256">
        <f t="shared" si="3"/>
        <v>24000</v>
      </c>
      <c r="O49" s="256">
        <f t="shared" si="4"/>
        <v>1000</v>
      </c>
      <c r="P49" s="268">
        <f t="shared" si="5"/>
        <v>2.5</v>
      </c>
      <c r="Q49" s="256">
        <f t="shared" si="6"/>
        <v>0</v>
      </c>
      <c r="R49" s="268">
        <f t="shared" si="7"/>
        <v>2.5</v>
      </c>
      <c r="S49" s="268">
        <f t="shared" si="8"/>
        <v>67.5</v>
      </c>
      <c r="AB49" s="256"/>
      <c r="AC49" s="256"/>
      <c r="AD49" s="256"/>
      <c r="AE49" s="256"/>
      <c r="AF49" s="256"/>
    </row>
    <row r="50" spans="2:32" ht="15" thickBot="1">
      <c r="B50" s="276" t="s">
        <v>277</v>
      </c>
      <c r="C50" s="507" t="str">
        <f t="shared" si="13"/>
        <v/>
      </c>
      <c r="D50" s="508"/>
      <c r="E50" s="287" t="str">
        <f t="shared" si="11"/>
        <v/>
      </c>
      <c r="F50" s="509"/>
      <c r="G50" s="278" t="str">
        <f t="shared" si="10"/>
        <v/>
      </c>
      <c r="H50" s="237"/>
      <c r="I50" s="268" t="str">
        <f t="shared" si="12"/>
        <v/>
      </c>
      <c r="J50" s="268" t="str">
        <f t="shared" si="14"/>
        <v/>
      </c>
      <c r="L50" s="267"/>
      <c r="N50" s="268"/>
      <c r="AB50" s="256"/>
      <c r="AC50" s="256"/>
      <c r="AD50" s="256"/>
      <c r="AE50" s="256"/>
      <c r="AF50" s="256"/>
    </row>
    <row r="51" spans="2:32" ht="13.5" thickBot="1">
      <c r="B51" s="288"/>
      <c r="C51" s="289"/>
      <c r="D51" s="245"/>
      <c r="E51" s="290"/>
      <c r="F51" s="245"/>
      <c r="G51" s="245"/>
      <c r="H51" s="248"/>
      <c r="L51" s="291">
        <f>'Revenues from REFERENCE Rates'!$E$21</f>
        <v>27500</v>
      </c>
      <c r="M51" s="268">
        <f>IF(L51&lt;=$F$26,0,VLOOKUP(L51,$C$41:$F$50,4))</f>
        <v>2.5</v>
      </c>
      <c r="N51" s="256">
        <f>IF(L51&lt;=$F$26,0,VLOOKUP(L51,$C$41:$F$50,1)-1)</f>
        <v>0</v>
      </c>
      <c r="O51" s="292">
        <f>L51-N51</f>
        <v>27500</v>
      </c>
      <c r="P51" s="268">
        <f>IF(L51&lt;=$F$26,S24,IF(VLOOKUP(L51,$C$41:$J$50,8)=0,S24,VLOOKUP(L51,$C$41:$J$50,8)))</f>
        <v>5</v>
      </c>
      <c r="R51" s="268"/>
      <c r="S51" s="268">
        <f>P51+M51*(O51/1000)</f>
        <v>73.75</v>
      </c>
      <c r="AB51" s="256"/>
      <c r="AC51" s="256"/>
      <c r="AD51" s="256"/>
      <c r="AE51" s="256"/>
      <c r="AF51" s="256"/>
    </row>
    <row r="52" spans="2:32" s="293" customFormat="1" ht="13.5" thickBot="1">
      <c r="H52" s="294"/>
      <c r="I52" s="295"/>
      <c r="J52" s="295"/>
      <c r="K52" s="295"/>
      <c r="L52" s="291">
        <f>'pred conserv percent - REFEREN'!AF49</f>
        <v>24750</v>
      </c>
      <c r="M52" s="268">
        <f>IF(L52&lt;=$F$26,0,VLOOKUP(L52,$C$41:$F$50,4))</f>
        <v>2.5</v>
      </c>
      <c r="N52" s="256">
        <f>IF(L52&lt;=$F$26,0,VLOOKUP(L52,$C$41:$F$50,1)-1)</f>
        <v>0</v>
      </c>
      <c r="O52" s="292">
        <f>L52-N52</f>
        <v>24750</v>
      </c>
      <c r="P52" s="268">
        <f>IF(L52&lt;=$F$26,S25,IF(VLOOKUP(L52,$C$41:$J$50,8)=0,S25,VLOOKUP(L52,$C$41:$J$50,8)))</f>
        <v>7.5</v>
      </c>
      <c r="Q52" s="295"/>
      <c r="R52" s="295"/>
      <c r="S52" s="268">
        <f>P52+M52*(O52/1000)</f>
        <v>69.375</v>
      </c>
      <c r="T52" s="295"/>
      <c r="U52" s="948"/>
      <c r="V52" s="948"/>
      <c r="W52" s="948"/>
      <c r="X52" s="295"/>
      <c r="Y52" s="295"/>
      <c r="Z52" s="295"/>
      <c r="AA52" s="295"/>
      <c r="AB52" s="295"/>
      <c r="AC52" s="295"/>
      <c r="AD52" s="295"/>
      <c r="AE52" s="295"/>
      <c r="AF52" s="295"/>
    </row>
    <row r="53" spans="2:32" s="302" customFormat="1" ht="27" customHeight="1">
      <c r="B53" s="253" t="s">
        <v>387</v>
      </c>
      <c r="C53" s="296"/>
      <c r="D53" s="296"/>
      <c r="E53" s="296"/>
      <c r="F53" s="296"/>
      <c r="G53" s="296"/>
      <c r="H53" s="297"/>
      <c r="I53" s="298"/>
      <c r="J53" s="298"/>
      <c r="K53" s="298"/>
      <c r="L53" s="299">
        <f>'pred conserv percent - REFEREN'!AF64</f>
        <v>22000</v>
      </c>
      <c r="M53" s="300">
        <f>IF(L53&lt;=$F$26,0,VLOOKUP(L53,$C$41:$F$50,4))</f>
        <v>2.5</v>
      </c>
      <c r="N53" s="298">
        <f>IF(L53&lt;=$F$26,0,VLOOKUP(L53,$C$41:$F$50,1)-1)</f>
        <v>0</v>
      </c>
      <c r="O53" s="301">
        <f>L53-N53</f>
        <v>22000</v>
      </c>
      <c r="P53" s="300">
        <f>IF(L53&lt;=$F$26,S26,IF(VLOOKUP(L53,$C$41:$J$50,8)=0,S26,VLOOKUP(L53,$C$41:$J$50,8)))</f>
        <v>10</v>
      </c>
      <c r="Q53" s="298"/>
      <c r="R53" s="298"/>
      <c r="S53" s="300">
        <f>P53+M53*(O53/1000)</f>
        <v>65</v>
      </c>
      <c r="T53" s="298"/>
      <c r="U53" s="949"/>
      <c r="V53" s="949"/>
      <c r="W53" s="949"/>
      <c r="X53" s="298"/>
      <c r="Y53" s="298"/>
      <c r="Z53" s="298"/>
      <c r="AA53" s="298"/>
      <c r="AB53" s="298"/>
      <c r="AC53" s="298"/>
      <c r="AD53" s="298"/>
      <c r="AE53" s="298"/>
      <c r="AF53" s="298"/>
    </row>
    <row r="54" spans="2:32" s="304" customFormat="1" ht="34.5" customHeight="1">
      <c r="B54" s="985" t="s">
        <v>293</v>
      </c>
      <c r="C54" s="986"/>
      <c r="D54" s="986"/>
      <c r="E54" s="986"/>
      <c r="F54" s="986"/>
      <c r="G54" s="986"/>
      <c r="H54" s="987"/>
      <c r="I54" s="303"/>
      <c r="J54" s="303"/>
      <c r="K54" s="303"/>
      <c r="L54" s="303"/>
      <c r="M54" s="303"/>
      <c r="N54" s="303"/>
      <c r="O54" s="303"/>
      <c r="P54" s="303"/>
      <c r="Q54" s="303"/>
      <c r="R54" s="303"/>
      <c r="S54" s="303"/>
      <c r="T54" s="303"/>
      <c r="U54" s="950"/>
      <c r="V54" s="950"/>
      <c r="W54" s="950"/>
      <c r="X54" s="303"/>
      <c r="Y54" s="303"/>
      <c r="Z54" s="303"/>
      <c r="AA54" s="303"/>
      <c r="AB54" s="303"/>
      <c r="AC54" s="303"/>
      <c r="AD54" s="303"/>
      <c r="AE54" s="303"/>
      <c r="AF54" s="303"/>
    </row>
    <row r="55" spans="2:32" ht="13.5" thickBot="1">
      <c r="B55" s="608"/>
      <c r="C55" s="609"/>
      <c r="D55" s="609"/>
      <c r="E55" s="609"/>
      <c r="F55" s="609"/>
      <c r="G55" s="609"/>
      <c r="H55" s="610"/>
      <c r="AB55" s="256"/>
      <c r="AC55" s="256"/>
      <c r="AD55" s="256"/>
      <c r="AE55" s="256"/>
      <c r="AF55" s="256"/>
    </row>
    <row r="56" spans="2:32" ht="57">
      <c r="B56" s="499"/>
      <c r="C56" s="282" t="s">
        <v>294</v>
      </c>
      <c r="D56" s="502" t="s">
        <v>295</v>
      </c>
      <c r="E56" s="598" t="s">
        <v>426</v>
      </c>
      <c r="F56" s="503" t="s">
        <v>394</v>
      </c>
      <c r="G56" s="305" t="s">
        <v>303</v>
      </c>
      <c r="H56" s="266"/>
      <c r="AB56" s="256"/>
      <c r="AC56" s="256"/>
      <c r="AD56" s="256"/>
      <c r="AE56" s="256"/>
      <c r="AF56" s="256"/>
    </row>
    <row r="57" spans="2:32" ht="14.25">
      <c r="B57" s="499"/>
      <c r="C57" s="599">
        <v>0</v>
      </c>
      <c r="D57" s="600">
        <f t="shared" ref="D57:D82" si="15">S24</f>
        <v>5</v>
      </c>
      <c r="E57" s="601"/>
      <c r="F57" s="602">
        <f>IF(E57="",D57,E57)</f>
        <v>5</v>
      </c>
      <c r="G57" s="306">
        <f>$F$57/F57</f>
        <v>1</v>
      </c>
      <c r="H57" s="266"/>
      <c r="AB57" s="256"/>
      <c r="AC57" s="256"/>
      <c r="AD57" s="256"/>
      <c r="AE57" s="256"/>
      <c r="AF57" s="256"/>
    </row>
    <row r="58" spans="2:32" ht="14.25">
      <c r="B58" s="499"/>
      <c r="C58" s="599">
        <v>1000</v>
      </c>
      <c r="D58" s="600">
        <f t="shared" si="15"/>
        <v>7.5</v>
      </c>
      <c r="E58" s="601"/>
      <c r="F58" s="603">
        <f t="shared" ref="F58:F82" si="16">IF(E58="",D58,E58)</f>
        <v>7.5</v>
      </c>
      <c r="G58" s="306">
        <f t="shared" ref="G58:G82" si="17">$F$57/F58</f>
        <v>0.66666666666666663</v>
      </c>
      <c r="H58" s="266"/>
      <c r="AB58" s="256"/>
      <c r="AC58" s="256"/>
      <c r="AD58" s="256"/>
      <c r="AE58" s="256"/>
      <c r="AF58" s="256"/>
    </row>
    <row r="59" spans="2:32" ht="14.25">
      <c r="B59" s="499"/>
      <c r="C59" s="599">
        <v>2000</v>
      </c>
      <c r="D59" s="600">
        <f t="shared" si="15"/>
        <v>10</v>
      </c>
      <c r="E59" s="601"/>
      <c r="F59" s="603">
        <f t="shared" si="16"/>
        <v>10</v>
      </c>
      <c r="G59" s="306">
        <f t="shared" si="17"/>
        <v>0.5</v>
      </c>
      <c r="H59" s="266"/>
      <c r="AB59" s="256"/>
      <c r="AC59" s="256"/>
      <c r="AD59" s="256"/>
      <c r="AE59" s="256"/>
      <c r="AF59" s="256"/>
    </row>
    <row r="60" spans="2:32" ht="14.25">
      <c r="B60" s="499"/>
      <c r="C60" s="599">
        <v>3000</v>
      </c>
      <c r="D60" s="600">
        <f t="shared" si="15"/>
        <v>12.5</v>
      </c>
      <c r="E60" s="601"/>
      <c r="F60" s="603">
        <f t="shared" si="16"/>
        <v>12.5</v>
      </c>
      <c r="G60" s="306">
        <f t="shared" si="17"/>
        <v>0.4</v>
      </c>
      <c r="H60" s="266"/>
      <c r="AB60" s="256"/>
      <c r="AC60" s="256"/>
      <c r="AD60" s="256"/>
      <c r="AE60" s="256"/>
      <c r="AF60" s="256"/>
    </row>
    <row r="61" spans="2:32" ht="14.25">
      <c r="B61" s="499"/>
      <c r="C61" s="599">
        <v>4000</v>
      </c>
      <c r="D61" s="600">
        <f t="shared" si="15"/>
        <v>15</v>
      </c>
      <c r="E61" s="601"/>
      <c r="F61" s="603">
        <f t="shared" si="16"/>
        <v>15</v>
      </c>
      <c r="G61" s="306">
        <f t="shared" si="17"/>
        <v>0.33333333333333331</v>
      </c>
      <c r="H61" s="266"/>
      <c r="AB61" s="256"/>
      <c r="AC61" s="256"/>
      <c r="AD61" s="256"/>
      <c r="AE61" s="256"/>
      <c r="AF61" s="256"/>
    </row>
    <row r="62" spans="2:32" ht="14.25">
      <c r="B62" s="499"/>
      <c r="C62" s="599">
        <v>5000</v>
      </c>
      <c r="D62" s="600">
        <f t="shared" si="15"/>
        <v>17.5</v>
      </c>
      <c r="E62" s="601"/>
      <c r="F62" s="603">
        <f t="shared" si="16"/>
        <v>17.5</v>
      </c>
      <c r="G62" s="306">
        <f t="shared" si="17"/>
        <v>0.2857142857142857</v>
      </c>
      <c r="H62" s="266"/>
      <c r="AB62" s="256"/>
      <c r="AC62" s="256"/>
      <c r="AD62" s="256"/>
      <c r="AE62" s="256"/>
      <c r="AF62" s="256"/>
    </row>
    <row r="63" spans="2:32" ht="14.25">
      <c r="B63" s="499"/>
      <c r="C63" s="599">
        <v>6000</v>
      </c>
      <c r="D63" s="600">
        <f t="shared" si="15"/>
        <v>20</v>
      </c>
      <c r="E63" s="601"/>
      <c r="F63" s="603">
        <f t="shared" si="16"/>
        <v>20</v>
      </c>
      <c r="G63" s="306">
        <f t="shared" si="17"/>
        <v>0.25</v>
      </c>
      <c r="H63" s="266"/>
      <c r="AB63" s="256"/>
      <c r="AC63" s="256"/>
      <c r="AD63" s="256"/>
      <c r="AE63" s="256"/>
      <c r="AF63" s="256"/>
    </row>
    <row r="64" spans="2:32" ht="14.25">
      <c r="B64" s="499"/>
      <c r="C64" s="599">
        <v>7000</v>
      </c>
      <c r="D64" s="600">
        <f t="shared" si="15"/>
        <v>22.5</v>
      </c>
      <c r="E64" s="601"/>
      <c r="F64" s="603">
        <f t="shared" si="16"/>
        <v>22.5</v>
      </c>
      <c r="G64" s="306">
        <f t="shared" si="17"/>
        <v>0.22222222222222221</v>
      </c>
      <c r="H64" s="266"/>
      <c r="AB64" s="256"/>
      <c r="AC64" s="256"/>
      <c r="AD64" s="256"/>
      <c r="AE64" s="256"/>
      <c r="AF64" s="256"/>
    </row>
    <row r="65" spans="2:32" ht="14.25">
      <c r="B65" s="499"/>
      <c r="C65" s="599">
        <v>8000</v>
      </c>
      <c r="D65" s="600">
        <f t="shared" si="15"/>
        <v>25</v>
      </c>
      <c r="E65" s="601"/>
      <c r="F65" s="603">
        <f t="shared" si="16"/>
        <v>25</v>
      </c>
      <c r="G65" s="306">
        <f t="shared" si="17"/>
        <v>0.2</v>
      </c>
      <c r="H65" s="266"/>
      <c r="AB65" s="256"/>
      <c r="AC65" s="256"/>
      <c r="AD65" s="256"/>
      <c r="AE65" s="256"/>
      <c r="AF65" s="256"/>
    </row>
    <row r="66" spans="2:32" ht="14.25">
      <c r="B66" s="499"/>
      <c r="C66" s="599">
        <v>9000</v>
      </c>
      <c r="D66" s="600">
        <f t="shared" si="15"/>
        <v>27.5</v>
      </c>
      <c r="E66" s="601"/>
      <c r="F66" s="603">
        <f t="shared" si="16"/>
        <v>27.5</v>
      </c>
      <c r="G66" s="306">
        <f t="shared" si="17"/>
        <v>0.18181818181818182</v>
      </c>
      <c r="H66" s="266"/>
      <c r="AB66" s="256"/>
      <c r="AC66" s="256"/>
      <c r="AD66" s="256"/>
      <c r="AE66" s="256"/>
      <c r="AF66" s="256"/>
    </row>
    <row r="67" spans="2:32" ht="14.25">
      <c r="B67" s="499"/>
      <c r="C67" s="599">
        <v>10000</v>
      </c>
      <c r="D67" s="600">
        <f t="shared" si="15"/>
        <v>30</v>
      </c>
      <c r="E67" s="601"/>
      <c r="F67" s="603">
        <f t="shared" si="16"/>
        <v>30</v>
      </c>
      <c r="G67" s="306">
        <f t="shared" si="17"/>
        <v>0.16666666666666666</v>
      </c>
      <c r="H67" s="266"/>
      <c r="AB67" s="256"/>
      <c r="AC67" s="256"/>
      <c r="AD67" s="256"/>
      <c r="AE67" s="256"/>
      <c r="AF67" s="256"/>
    </row>
    <row r="68" spans="2:32" ht="14.25">
      <c r="B68" s="499"/>
      <c r="C68" s="599">
        <v>11000</v>
      </c>
      <c r="D68" s="600">
        <f t="shared" si="15"/>
        <v>32.5</v>
      </c>
      <c r="E68" s="601"/>
      <c r="F68" s="603">
        <f t="shared" si="16"/>
        <v>32.5</v>
      </c>
      <c r="G68" s="306">
        <f t="shared" si="17"/>
        <v>0.15384615384615385</v>
      </c>
      <c r="H68" s="266"/>
      <c r="AB68" s="256"/>
      <c r="AC68" s="256"/>
      <c r="AD68" s="256"/>
      <c r="AE68" s="256"/>
      <c r="AF68" s="256"/>
    </row>
    <row r="69" spans="2:32" ht="14.25">
      <c r="B69" s="499"/>
      <c r="C69" s="599">
        <v>12000</v>
      </c>
      <c r="D69" s="600">
        <f t="shared" si="15"/>
        <v>35</v>
      </c>
      <c r="E69" s="601"/>
      <c r="F69" s="603">
        <f t="shared" si="16"/>
        <v>35</v>
      </c>
      <c r="G69" s="306">
        <f t="shared" si="17"/>
        <v>0.14285714285714285</v>
      </c>
      <c r="H69" s="266"/>
      <c r="AB69" s="256"/>
      <c r="AC69" s="256"/>
      <c r="AD69" s="256"/>
      <c r="AE69" s="256"/>
      <c r="AF69" s="256"/>
    </row>
    <row r="70" spans="2:32" ht="14.25">
      <c r="B70" s="499"/>
      <c r="C70" s="599">
        <v>13000</v>
      </c>
      <c r="D70" s="600">
        <f t="shared" si="15"/>
        <v>37.5</v>
      </c>
      <c r="E70" s="601"/>
      <c r="F70" s="603">
        <f t="shared" si="16"/>
        <v>37.5</v>
      </c>
      <c r="G70" s="306">
        <f t="shared" si="17"/>
        <v>0.13333333333333333</v>
      </c>
      <c r="H70" s="266"/>
      <c r="AB70" s="256"/>
      <c r="AC70" s="256"/>
      <c r="AD70" s="256"/>
      <c r="AE70" s="256"/>
      <c r="AF70" s="256"/>
    </row>
    <row r="71" spans="2:32" ht="14.25">
      <c r="B71" s="499"/>
      <c r="C71" s="599">
        <v>14000</v>
      </c>
      <c r="D71" s="600">
        <f t="shared" si="15"/>
        <v>40</v>
      </c>
      <c r="E71" s="601"/>
      <c r="F71" s="603">
        <f t="shared" si="16"/>
        <v>40</v>
      </c>
      <c r="G71" s="306">
        <f t="shared" si="17"/>
        <v>0.125</v>
      </c>
      <c r="H71" s="266"/>
      <c r="AB71" s="256"/>
      <c r="AC71" s="256"/>
      <c r="AD71" s="256"/>
      <c r="AE71" s="256"/>
      <c r="AF71" s="256"/>
    </row>
    <row r="72" spans="2:32" ht="14.25">
      <c r="B72" s="499"/>
      <c r="C72" s="599">
        <v>15000</v>
      </c>
      <c r="D72" s="600">
        <f t="shared" si="15"/>
        <v>42.5</v>
      </c>
      <c r="E72" s="601"/>
      <c r="F72" s="603">
        <f t="shared" si="16"/>
        <v>42.5</v>
      </c>
      <c r="G72" s="306">
        <f t="shared" si="17"/>
        <v>0.11764705882352941</v>
      </c>
      <c r="H72" s="266"/>
      <c r="AB72" s="256"/>
      <c r="AC72" s="256"/>
      <c r="AD72" s="256"/>
      <c r="AE72" s="256"/>
      <c r="AF72" s="256"/>
    </row>
    <row r="73" spans="2:32" ht="14.25">
      <c r="B73" s="499"/>
      <c r="C73" s="599">
        <v>16000</v>
      </c>
      <c r="D73" s="600">
        <f t="shared" si="15"/>
        <v>45</v>
      </c>
      <c r="E73" s="601"/>
      <c r="F73" s="603">
        <f t="shared" si="16"/>
        <v>45</v>
      </c>
      <c r="G73" s="306">
        <f t="shared" si="17"/>
        <v>0.1111111111111111</v>
      </c>
      <c r="H73" s="266"/>
      <c r="AB73" s="256"/>
      <c r="AC73" s="256"/>
      <c r="AD73" s="256"/>
      <c r="AE73" s="256"/>
      <c r="AF73" s="256"/>
    </row>
    <row r="74" spans="2:32" ht="14.25">
      <c r="B74" s="499"/>
      <c r="C74" s="599">
        <v>17000</v>
      </c>
      <c r="D74" s="600">
        <f t="shared" si="15"/>
        <v>47.5</v>
      </c>
      <c r="E74" s="601"/>
      <c r="F74" s="603">
        <f t="shared" si="16"/>
        <v>47.5</v>
      </c>
      <c r="G74" s="306">
        <f t="shared" si="17"/>
        <v>0.10526315789473684</v>
      </c>
      <c r="H74" s="266"/>
      <c r="AB74" s="256"/>
      <c r="AC74" s="256"/>
      <c r="AD74" s="256"/>
      <c r="AE74" s="256"/>
      <c r="AF74" s="256"/>
    </row>
    <row r="75" spans="2:32" ht="14.25">
      <c r="B75" s="499"/>
      <c r="C75" s="599">
        <v>18000</v>
      </c>
      <c r="D75" s="600">
        <f t="shared" si="15"/>
        <v>50</v>
      </c>
      <c r="E75" s="601"/>
      <c r="F75" s="603">
        <f t="shared" si="16"/>
        <v>50</v>
      </c>
      <c r="G75" s="306">
        <f t="shared" si="17"/>
        <v>0.1</v>
      </c>
      <c r="H75" s="266"/>
      <c r="AB75" s="256"/>
      <c r="AC75" s="256"/>
      <c r="AD75" s="256"/>
      <c r="AE75" s="256"/>
      <c r="AF75" s="256"/>
    </row>
    <row r="76" spans="2:32" ht="14.25">
      <c r="B76" s="499"/>
      <c r="C76" s="599">
        <v>19000</v>
      </c>
      <c r="D76" s="600">
        <f t="shared" si="15"/>
        <v>52.5</v>
      </c>
      <c r="E76" s="601"/>
      <c r="F76" s="603">
        <f t="shared" si="16"/>
        <v>52.5</v>
      </c>
      <c r="G76" s="306">
        <f t="shared" si="17"/>
        <v>9.5238095238095233E-2</v>
      </c>
      <c r="H76" s="266"/>
      <c r="AB76" s="256"/>
      <c r="AC76" s="256"/>
      <c r="AD76" s="256"/>
      <c r="AE76" s="256"/>
      <c r="AF76" s="256"/>
    </row>
    <row r="77" spans="2:32" ht="14.25">
      <c r="B77" s="499"/>
      <c r="C77" s="599">
        <v>20000</v>
      </c>
      <c r="D77" s="600">
        <f t="shared" si="15"/>
        <v>55</v>
      </c>
      <c r="E77" s="601"/>
      <c r="F77" s="603">
        <f t="shared" si="16"/>
        <v>55</v>
      </c>
      <c r="G77" s="306">
        <f t="shared" si="17"/>
        <v>9.0909090909090912E-2</v>
      </c>
      <c r="H77" s="266"/>
      <c r="AB77" s="256"/>
      <c r="AC77" s="256"/>
      <c r="AD77" s="256"/>
      <c r="AE77" s="256"/>
      <c r="AF77" s="256"/>
    </row>
    <row r="78" spans="2:32" ht="14.25">
      <c r="B78" s="499"/>
      <c r="C78" s="599">
        <v>21000</v>
      </c>
      <c r="D78" s="600">
        <f t="shared" si="15"/>
        <v>57.5</v>
      </c>
      <c r="E78" s="601"/>
      <c r="F78" s="603">
        <f t="shared" si="16"/>
        <v>57.5</v>
      </c>
      <c r="G78" s="306">
        <f t="shared" si="17"/>
        <v>8.6956521739130432E-2</v>
      </c>
      <c r="H78" s="266"/>
      <c r="AB78" s="256"/>
      <c r="AC78" s="256"/>
      <c r="AD78" s="256"/>
      <c r="AE78" s="256"/>
      <c r="AF78" s="256"/>
    </row>
    <row r="79" spans="2:32" ht="14.25">
      <c r="B79" s="499"/>
      <c r="C79" s="599">
        <v>22000</v>
      </c>
      <c r="D79" s="600">
        <f t="shared" si="15"/>
        <v>60</v>
      </c>
      <c r="E79" s="601"/>
      <c r="F79" s="603">
        <f t="shared" si="16"/>
        <v>60</v>
      </c>
      <c r="G79" s="306">
        <f t="shared" si="17"/>
        <v>8.3333333333333329E-2</v>
      </c>
      <c r="H79" s="266"/>
      <c r="AB79" s="256"/>
      <c r="AC79" s="256"/>
      <c r="AD79" s="256"/>
      <c r="AE79" s="256"/>
      <c r="AF79" s="256"/>
    </row>
    <row r="80" spans="2:32" ht="14.25">
      <c r="B80" s="499"/>
      <c r="C80" s="599">
        <v>23000</v>
      </c>
      <c r="D80" s="600">
        <f t="shared" si="15"/>
        <v>62.5</v>
      </c>
      <c r="E80" s="601"/>
      <c r="F80" s="603">
        <f t="shared" si="16"/>
        <v>62.5</v>
      </c>
      <c r="G80" s="306">
        <f t="shared" si="17"/>
        <v>0.08</v>
      </c>
      <c r="H80" s="266"/>
      <c r="AB80" s="256"/>
      <c r="AC80" s="256"/>
      <c r="AD80" s="256"/>
      <c r="AE80" s="256"/>
      <c r="AF80" s="256"/>
    </row>
    <row r="81" spans="2:32" ht="14.25">
      <c r="B81" s="234"/>
      <c r="C81" s="599">
        <v>24000</v>
      </c>
      <c r="D81" s="600">
        <f t="shared" si="15"/>
        <v>65</v>
      </c>
      <c r="E81" s="601"/>
      <c r="F81" s="603">
        <f t="shared" si="16"/>
        <v>65</v>
      </c>
      <c r="G81" s="306">
        <f t="shared" si="17"/>
        <v>7.6923076923076927E-2</v>
      </c>
      <c r="H81" s="266"/>
      <c r="AB81" s="256"/>
      <c r="AC81" s="256"/>
      <c r="AD81" s="256"/>
      <c r="AE81" s="256"/>
      <c r="AF81" s="256"/>
    </row>
    <row r="82" spans="2:32" ht="15" thickBot="1">
      <c r="B82" s="234"/>
      <c r="C82" s="604">
        <v>25000</v>
      </c>
      <c r="D82" s="605">
        <f t="shared" si="15"/>
        <v>67.5</v>
      </c>
      <c r="E82" s="606"/>
      <c r="F82" s="607">
        <f t="shared" si="16"/>
        <v>67.5</v>
      </c>
      <c r="G82" s="306">
        <f t="shared" si="17"/>
        <v>7.407407407407407E-2</v>
      </c>
      <c r="H82" s="266"/>
      <c r="AB82" s="256"/>
      <c r="AC82" s="256"/>
      <c r="AD82" s="256"/>
      <c r="AE82" s="256"/>
      <c r="AF82" s="256"/>
    </row>
    <row r="83" spans="2:32" ht="13.5" thickBot="1">
      <c r="B83" s="244"/>
      <c r="C83" s="245"/>
      <c r="D83" s="245"/>
      <c r="E83" s="245"/>
      <c r="F83" s="245"/>
      <c r="G83" s="246"/>
      <c r="H83" s="307"/>
      <c r="AB83" s="256"/>
      <c r="AC83" s="256"/>
      <c r="AD83" s="256"/>
      <c r="AE83" s="256"/>
      <c r="AF83" s="256"/>
    </row>
    <row r="84" spans="2:32">
      <c r="AB84" s="256"/>
      <c r="AC84" s="256"/>
      <c r="AD84" s="256"/>
      <c r="AE84" s="256"/>
      <c r="AF84" s="256"/>
    </row>
    <row r="85" spans="2:32">
      <c r="AB85" s="256"/>
      <c r="AC85" s="256"/>
      <c r="AD85" s="256"/>
      <c r="AE85" s="256"/>
      <c r="AF85" s="256"/>
    </row>
    <row r="86" spans="2:32">
      <c r="AB86" s="256"/>
      <c r="AC86" s="256"/>
      <c r="AD86" s="256"/>
      <c r="AE86" s="256"/>
      <c r="AF86" s="256"/>
    </row>
    <row r="87" spans="2:32">
      <c r="AB87" s="256"/>
      <c r="AC87" s="256"/>
      <c r="AD87" s="256"/>
      <c r="AE87" s="256"/>
      <c r="AF87" s="256"/>
    </row>
    <row r="88" spans="2:32">
      <c r="AB88" s="256"/>
      <c r="AC88" s="256"/>
      <c r="AD88" s="256"/>
      <c r="AE88" s="256"/>
      <c r="AF88" s="256"/>
    </row>
    <row r="89" spans="2:32">
      <c r="AB89" s="256"/>
      <c r="AC89" s="256"/>
      <c r="AD89" s="256"/>
      <c r="AE89" s="256"/>
      <c r="AF89" s="256"/>
    </row>
    <row r="90" spans="2:32">
      <c r="AB90" s="256"/>
      <c r="AC90" s="256"/>
      <c r="AD90" s="256"/>
      <c r="AE90" s="256"/>
      <c r="AF90" s="256"/>
    </row>
    <row r="91" spans="2:32">
      <c r="AB91" s="256"/>
      <c r="AC91" s="256"/>
      <c r="AD91" s="256"/>
      <c r="AE91" s="256"/>
      <c r="AF91" s="256"/>
    </row>
    <row r="92" spans="2:32">
      <c r="AB92" s="256"/>
      <c r="AC92" s="256"/>
      <c r="AD92" s="256"/>
      <c r="AE92" s="256"/>
      <c r="AF92" s="256"/>
    </row>
    <row r="93" spans="2:32">
      <c r="AB93" s="256"/>
      <c r="AC93" s="256"/>
      <c r="AD93" s="256"/>
      <c r="AE93" s="256"/>
      <c r="AF93" s="256"/>
    </row>
    <row r="94" spans="2:32">
      <c r="AB94" s="256"/>
      <c r="AC94" s="256"/>
      <c r="AD94" s="256"/>
      <c r="AE94" s="256"/>
      <c r="AF94" s="256"/>
    </row>
    <row r="95" spans="2:32">
      <c r="AB95" s="256"/>
      <c r="AC95" s="256"/>
      <c r="AD95" s="256"/>
      <c r="AE95" s="256"/>
      <c r="AF95" s="256"/>
    </row>
    <row r="96" spans="2:32">
      <c r="AB96" s="256"/>
      <c r="AC96" s="256"/>
      <c r="AD96" s="256"/>
      <c r="AE96" s="256"/>
      <c r="AF96" s="256"/>
    </row>
    <row r="97" spans="28:32">
      <c r="AB97" s="256"/>
      <c r="AC97" s="256"/>
      <c r="AD97" s="256"/>
      <c r="AE97" s="256"/>
      <c r="AF97" s="256"/>
    </row>
    <row r="98" spans="28:32">
      <c r="AB98" s="256"/>
      <c r="AC98" s="256"/>
      <c r="AD98" s="256"/>
      <c r="AE98" s="256"/>
      <c r="AF98" s="256"/>
    </row>
    <row r="99" spans="28:32">
      <c r="AB99" s="256"/>
      <c r="AC99" s="256"/>
      <c r="AD99" s="256"/>
      <c r="AE99" s="256"/>
      <c r="AF99" s="256"/>
    </row>
    <row r="100" spans="28:32">
      <c r="AB100" s="256"/>
      <c r="AC100" s="256"/>
      <c r="AD100" s="256"/>
      <c r="AE100" s="256"/>
      <c r="AF100" s="256"/>
    </row>
    <row r="101" spans="28:32">
      <c r="AB101" s="256"/>
      <c r="AC101" s="256"/>
      <c r="AD101" s="256"/>
      <c r="AE101" s="256"/>
      <c r="AF101" s="256"/>
    </row>
    <row r="102" spans="28:32">
      <c r="AB102" s="256"/>
      <c r="AC102" s="256"/>
      <c r="AD102" s="256"/>
      <c r="AE102" s="256"/>
      <c r="AF102" s="256"/>
    </row>
    <row r="103" spans="28:32">
      <c r="AB103" s="256"/>
      <c r="AC103" s="256"/>
      <c r="AD103" s="256"/>
      <c r="AE103" s="256"/>
      <c r="AF103" s="256"/>
    </row>
    <row r="104" spans="28:32">
      <c r="AB104" s="256"/>
      <c r="AC104" s="256"/>
      <c r="AD104" s="256"/>
      <c r="AE104" s="256"/>
      <c r="AF104" s="256"/>
    </row>
    <row r="105" spans="28:32">
      <c r="AB105" s="256"/>
      <c r="AC105" s="256"/>
      <c r="AD105" s="256"/>
      <c r="AE105" s="256"/>
      <c r="AF105" s="256"/>
    </row>
    <row r="106" spans="28:32">
      <c r="AB106" s="256"/>
      <c r="AC106" s="256"/>
      <c r="AD106" s="256"/>
      <c r="AE106" s="256"/>
      <c r="AF106" s="256"/>
    </row>
    <row r="107" spans="28:32">
      <c r="AB107" s="256"/>
      <c r="AC107" s="256"/>
      <c r="AD107" s="256"/>
      <c r="AE107" s="256"/>
      <c r="AF107" s="256"/>
    </row>
    <row r="108" spans="28:32">
      <c r="AB108" s="256"/>
      <c r="AC108" s="256"/>
      <c r="AD108" s="256"/>
      <c r="AE108" s="256"/>
      <c r="AF108" s="256"/>
    </row>
    <row r="109" spans="28:32">
      <c r="AB109" s="256"/>
      <c r="AC109" s="256"/>
      <c r="AD109" s="256"/>
      <c r="AE109" s="256"/>
      <c r="AF109" s="256"/>
    </row>
    <row r="110" spans="28:32">
      <c r="AB110" s="256"/>
      <c r="AC110" s="256"/>
      <c r="AD110" s="256"/>
      <c r="AE110" s="256"/>
      <c r="AF110" s="256"/>
    </row>
    <row r="111" spans="28:32">
      <c r="AB111" s="256"/>
      <c r="AC111" s="256"/>
      <c r="AD111" s="256"/>
      <c r="AE111" s="256"/>
      <c r="AF111" s="256"/>
    </row>
    <row r="112" spans="28:32">
      <c r="AB112" s="256"/>
      <c r="AC112" s="256"/>
      <c r="AD112" s="256"/>
      <c r="AE112" s="256"/>
      <c r="AF112" s="256"/>
    </row>
    <row r="113" spans="2:32">
      <c r="AB113" s="256"/>
      <c r="AC113" s="256"/>
      <c r="AD113" s="256"/>
      <c r="AE113" s="256"/>
      <c r="AF113" s="256"/>
    </row>
    <row r="114" spans="2:32">
      <c r="AB114" s="256"/>
      <c r="AC114" s="256"/>
      <c r="AD114" s="256"/>
      <c r="AE114" s="256"/>
      <c r="AF114" s="256"/>
    </row>
    <row r="115" spans="2:32">
      <c r="AB115" s="256"/>
      <c r="AC115" s="256"/>
      <c r="AD115" s="256"/>
      <c r="AE115" s="256"/>
      <c r="AF115" s="256"/>
    </row>
    <row r="116" spans="2:32">
      <c r="AB116" s="256"/>
      <c r="AC116" s="256"/>
      <c r="AD116" s="256"/>
      <c r="AE116" s="256"/>
      <c r="AF116" s="256"/>
    </row>
    <row r="117" spans="2:32">
      <c r="AB117" s="256"/>
      <c r="AC117" s="256"/>
      <c r="AD117" s="256"/>
      <c r="AE117" s="256"/>
      <c r="AF117" s="256"/>
    </row>
    <row r="118" spans="2:32">
      <c r="AB118" s="256"/>
      <c r="AC118" s="256"/>
      <c r="AD118" s="256"/>
      <c r="AE118" s="256"/>
      <c r="AF118" s="256"/>
    </row>
    <row r="119" spans="2:32">
      <c r="AB119" s="256"/>
      <c r="AC119" s="256"/>
      <c r="AD119" s="256"/>
      <c r="AE119" s="256"/>
      <c r="AF119" s="256"/>
    </row>
    <row r="120" spans="2:32">
      <c r="AB120" s="256"/>
      <c r="AC120" s="256"/>
      <c r="AD120" s="256"/>
      <c r="AE120" s="256"/>
      <c r="AF120" s="256"/>
    </row>
    <row r="121" spans="2:32" s="309" customFormat="1" ht="21" customHeight="1">
      <c r="B121" s="984"/>
      <c r="C121" s="984"/>
      <c r="D121" s="984"/>
      <c r="E121" s="984"/>
      <c r="F121" s="984"/>
      <c r="G121" s="984"/>
      <c r="H121" s="984"/>
      <c r="I121" s="308"/>
      <c r="J121" s="308"/>
      <c r="K121" s="308"/>
      <c r="L121" s="308"/>
      <c r="M121" s="308"/>
      <c r="N121" s="308"/>
      <c r="O121" s="308"/>
      <c r="P121" s="308"/>
      <c r="Q121" s="308"/>
      <c r="R121" s="308"/>
      <c r="S121" s="308"/>
      <c r="T121" s="308"/>
      <c r="U121" s="951"/>
      <c r="V121" s="951"/>
      <c r="W121" s="951"/>
      <c r="X121" s="308"/>
      <c r="Y121" s="308"/>
      <c r="Z121" s="308"/>
      <c r="AA121" s="308"/>
      <c r="AB121" s="308"/>
      <c r="AC121" s="308"/>
      <c r="AD121" s="308"/>
      <c r="AE121" s="308"/>
      <c r="AF121" s="308"/>
    </row>
    <row r="122" spans="2:32">
      <c r="AB122" s="256"/>
      <c r="AC122" s="256"/>
      <c r="AD122" s="256"/>
      <c r="AE122" s="256"/>
      <c r="AF122" s="256"/>
    </row>
    <row r="123" spans="2:32">
      <c r="AB123" s="256"/>
      <c r="AC123" s="256"/>
      <c r="AD123" s="256"/>
      <c r="AE123" s="256"/>
      <c r="AF123" s="256"/>
    </row>
  </sheetData>
  <sheetProtection password="EB90" sheet="1" objects="1" scenarios="1"/>
  <mergeCells count="12">
    <mergeCell ref="B1:H1"/>
    <mergeCell ref="B121:H121"/>
    <mergeCell ref="B54:H54"/>
    <mergeCell ref="B21:H21"/>
    <mergeCell ref="B2:H2"/>
    <mergeCell ref="F40:G40"/>
    <mergeCell ref="B39:C39"/>
    <mergeCell ref="C5:G5"/>
    <mergeCell ref="C6:G6"/>
    <mergeCell ref="C7:G7"/>
    <mergeCell ref="C8:G8"/>
    <mergeCell ref="C9:G9"/>
  </mergeCells>
  <dataValidations count="3">
    <dataValidation showErrorMessage="1" errorTitle="Please select from the list" sqref="C11"/>
    <dataValidation showErrorMessage="1" errorTitle="Please select from list" sqref="C12:C13"/>
    <dataValidation type="decimal" operator="greaterThanOrEqual" allowBlank="1" showErrorMessage="1" error="Please input a number greater than the end of the previous block." sqref="D42:D49">
      <formula1>C42</formula1>
    </dataValidation>
  </dataValidations>
  <pageMargins left="0.52" right="0.75" top="1.89" bottom="1" header="0.5" footer="0.5"/>
  <pageSetup scale="110" orientation="portrait" horizontalDpi="4294967293" r:id="rId1"/>
  <headerFooter alignWithMargins="0">
    <oddHeader xml:space="preserve">&amp;C&amp;"Arial,Bold"Water and Sewer Rate Analysis&amp;REnvironmental Finance Center&amp;12
&amp;10University of North Carolina
</oddHeader>
    <oddFooter xml:space="preserve">&amp;LElmar D. Kapfer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AH113"/>
  <sheetViews>
    <sheetView zoomScaleNormal="100" workbookViewId="0">
      <pane ySplit="2" topLeftCell="A3" activePane="bottomLeft" state="frozen"/>
      <selection pane="bottomLeft" activeCell="A3" sqref="A3"/>
    </sheetView>
  </sheetViews>
  <sheetFormatPr defaultColWidth="8.85546875" defaultRowHeight="12.75"/>
  <cols>
    <col min="1" max="1" width="14.7109375" style="312" customWidth="1"/>
    <col min="2" max="2" width="23.5703125" style="312" customWidth="1"/>
    <col min="3" max="3" width="19.7109375" style="312" customWidth="1"/>
    <col min="4" max="4" width="20.5703125" style="312" customWidth="1"/>
    <col min="5" max="5" width="44.140625" style="312" customWidth="1"/>
    <col min="6" max="6" width="18.5703125" style="312" customWidth="1"/>
    <col min="7" max="7" width="16.5703125" style="312" customWidth="1"/>
    <col min="8" max="8" width="9.140625" style="312" customWidth="1"/>
    <col min="9" max="11" width="14.140625" style="311" customWidth="1"/>
    <col min="12" max="12" width="27.140625" style="311" bestFit="1" customWidth="1"/>
    <col min="13" max="13" width="12.85546875" style="311" bestFit="1" customWidth="1"/>
    <col min="14" max="14" width="18.5703125" style="311" bestFit="1" customWidth="1"/>
    <col min="15" max="15" width="25.7109375" style="311" bestFit="1" customWidth="1"/>
    <col min="16" max="16" width="20.42578125" style="311" bestFit="1" customWidth="1"/>
    <col min="17" max="17" width="29.42578125" style="311" bestFit="1" customWidth="1"/>
    <col min="18" max="18" width="14.5703125" style="311" bestFit="1" customWidth="1"/>
    <col min="19" max="19" width="11.42578125" style="311" bestFit="1" customWidth="1"/>
    <col min="20" max="29" width="8.140625" style="311" customWidth="1"/>
    <col min="30" max="35" width="8.140625" style="312" customWidth="1"/>
    <col min="36" max="16384" width="8.85546875" style="312"/>
  </cols>
  <sheetData>
    <row r="1" spans="2:34" s="230" customFormat="1" ht="36.75" customHeight="1">
      <c r="B1" s="983" t="s">
        <v>378</v>
      </c>
      <c r="C1" s="983"/>
      <c r="D1" s="983"/>
      <c r="E1" s="983"/>
      <c r="F1" s="983"/>
      <c r="G1" s="983"/>
      <c r="H1" s="983"/>
      <c r="I1" s="228"/>
      <c r="J1" s="228"/>
      <c r="K1" s="229"/>
      <c r="L1" s="229"/>
      <c r="M1" s="229"/>
      <c r="N1" s="229"/>
      <c r="O1" s="229"/>
      <c r="P1" s="229"/>
      <c r="Q1" s="229"/>
      <c r="R1" s="229"/>
      <c r="S1" s="229"/>
      <c r="T1" s="229"/>
      <c r="U1" s="229"/>
      <c r="V1" s="229"/>
      <c r="W1" s="229"/>
      <c r="X1" s="229"/>
      <c r="Y1" s="229"/>
      <c r="Z1" s="229"/>
      <c r="AA1" s="229"/>
      <c r="AB1" s="229"/>
      <c r="AC1" s="229"/>
    </row>
    <row r="2" spans="2:34" ht="36.75" customHeight="1">
      <c r="B2" s="998" t="s">
        <v>364</v>
      </c>
      <c r="C2" s="998"/>
      <c r="D2" s="998"/>
      <c r="E2" s="998"/>
      <c r="F2" s="998"/>
      <c r="G2" s="998"/>
      <c r="H2" s="998"/>
      <c r="I2" s="310"/>
    </row>
    <row r="3" spans="2:34" ht="13.5" customHeight="1" thickBot="1">
      <c r="B3" s="501"/>
      <c r="C3" s="501"/>
      <c r="D3" s="501"/>
      <c r="E3" s="501"/>
      <c r="F3" s="501"/>
      <c r="G3" s="501"/>
      <c r="H3" s="501"/>
      <c r="I3" s="310"/>
    </row>
    <row r="4" spans="2:34" ht="27" customHeight="1">
      <c r="B4" s="525" t="s">
        <v>428</v>
      </c>
      <c r="C4" s="612"/>
      <c r="D4" s="612"/>
      <c r="E4" s="612"/>
      <c r="F4" s="612"/>
      <c r="G4" s="612"/>
      <c r="H4" s="613"/>
      <c r="I4" s="310"/>
    </row>
    <row r="5" spans="2:34" ht="32.25" customHeight="1" thickBot="1">
      <c r="B5" s="999" t="s">
        <v>391</v>
      </c>
      <c r="C5" s="1000"/>
      <c r="D5" s="1000"/>
      <c r="E5" s="1000"/>
      <c r="F5" s="1000"/>
      <c r="G5" s="1000"/>
      <c r="H5" s="1001"/>
    </row>
    <row r="6" spans="2:34" ht="45.75" thickBot="1">
      <c r="B6" s="638" t="s">
        <v>390</v>
      </c>
      <c r="C6" s="1002" t="s">
        <v>296</v>
      </c>
      <c r="D6" s="1003"/>
      <c r="E6" s="1004"/>
      <c r="F6" s="1005"/>
      <c r="G6" s="1005"/>
      <c r="H6" s="1006"/>
    </row>
    <row r="7" spans="2:34" ht="14.25" customHeight="1">
      <c r="B7" s="611"/>
      <c r="C7" s="614"/>
      <c r="D7" s="614"/>
      <c r="E7" s="614"/>
      <c r="F7" s="236"/>
      <c r="G7" s="236"/>
      <c r="H7" s="616"/>
    </row>
    <row r="8" spans="2:34" ht="15">
      <c r="B8" s="617" t="s">
        <v>6</v>
      </c>
      <c r="C8" s="239" t="s">
        <v>8</v>
      </c>
      <c r="D8" s="305" t="str">
        <f>VLOOKUP(BillingPeriod,Callouts!$A$2:$B$3,2,FALSE)</f>
        <v>/month</v>
      </c>
      <c r="E8" s="305" t="str">
        <f>LOWER(BillingPeriod)</f>
        <v>monthly</v>
      </c>
      <c r="F8" s="615">
        <f>IF(BillingPeriod="monthly",1,IF(BillingPeriod="bimonthly",2,"NA"))</f>
        <v>1</v>
      </c>
      <c r="G8" s="305"/>
      <c r="H8" s="528"/>
    </row>
    <row r="9" spans="2:34" ht="15">
      <c r="B9" s="618" t="s">
        <v>385</v>
      </c>
      <c r="C9" s="239" t="s">
        <v>12</v>
      </c>
      <c r="D9" s="305" t="str">
        <f>VLOOKUP(Units,Callouts!$D$2:$H$4,2,FALSE)</f>
        <v>gallons</v>
      </c>
      <c r="E9" s="305">
        <f>VLOOKUP(Units,Callouts!$D$2:$H$4,3,FALSE)</f>
        <v>1000</v>
      </c>
      <c r="F9" s="305">
        <f>VLOOKUP(Units,Callouts!$D$2:$H$4,4,FALSE)</f>
        <v>1</v>
      </c>
      <c r="G9" s="305">
        <f>VLOOKUP(Units,Callouts!$D$2:$H$4,5,FALSE)</f>
        <v>1</v>
      </c>
      <c r="H9" s="528"/>
    </row>
    <row r="10" spans="2:34" ht="15.75" thickBot="1">
      <c r="B10" s="516"/>
      <c r="C10" s="517"/>
      <c r="D10" s="518"/>
      <c r="E10" s="518"/>
      <c r="F10" s="518"/>
      <c r="G10" s="518"/>
      <c r="H10" s="519"/>
    </row>
    <row r="11" spans="2:34" ht="13.5" thickBot="1">
      <c r="C11" s="230"/>
      <c r="D11" s="313"/>
      <c r="E11" s="313"/>
      <c r="F11" s="313"/>
      <c r="G11" s="313"/>
      <c r="H11" s="314"/>
    </row>
    <row r="12" spans="2:34" hidden="1">
      <c r="C12" s="230"/>
      <c r="D12" s="313"/>
      <c r="E12" s="313"/>
      <c r="F12" s="313"/>
      <c r="G12" s="313"/>
      <c r="H12" s="314"/>
    </row>
    <row r="13" spans="2:34" hidden="1">
      <c r="C13" s="230"/>
      <c r="D13" s="316"/>
      <c r="E13" s="316"/>
      <c r="F13" s="316"/>
      <c r="G13" s="316"/>
      <c r="H13" s="317"/>
    </row>
    <row r="14" spans="2:34" hidden="1">
      <c r="B14" s="312" t="s">
        <v>37</v>
      </c>
      <c r="C14" s="318" t="str">
        <f>BillingPeriod</f>
        <v>Monthly</v>
      </c>
      <c r="D14" s="316">
        <v>0</v>
      </c>
      <c r="E14" s="316">
        <f t="shared" ref="E14:AH14" si="0">D14+$E$9</f>
        <v>1000</v>
      </c>
      <c r="F14" s="316">
        <f t="shared" si="0"/>
        <v>2000</v>
      </c>
      <c r="G14" s="316">
        <f t="shared" si="0"/>
        <v>3000</v>
      </c>
      <c r="H14" s="316">
        <f t="shared" si="0"/>
        <v>4000</v>
      </c>
      <c r="I14" s="229">
        <f t="shared" si="0"/>
        <v>5000</v>
      </c>
      <c r="J14" s="229">
        <f t="shared" si="0"/>
        <v>6000</v>
      </c>
      <c r="K14" s="229">
        <f t="shared" si="0"/>
        <v>7000</v>
      </c>
      <c r="L14" s="229">
        <f t="shared" si="0"/>
        <v>8000</v>
      </c>
      <c r="M14" s="229">
        <f t="shared" si="0"/>
        <v>9000</v>
      </c>
      <c r="N14" s="229">
        <f t="shared" si="0"/>
        <v>10000</v>
      </c>
      <c r="O14" s="229">
        <f t="shared" si="0"/>
        <v>11000</v>
      </c>
      <c r="P14" s="229">
        <f t="shared" si="0"/>
        <v>12000</v>
      </c>
      <c r="Q14" s="229">
        <f t="shared" si="0"/>
        <v>13000</v>
      </c>
      <c r="R14" s="229">
        <f t="shared" si="0"/>
        <v>14000</v>
      </c>
      <c r="S14" s="229">
        <f t="shared" si="0"/>
        <v>15000</v>
      </c>
      <c r="T14" s="229">
        <f t="shared" si="0"/>
        <v>16000</v>
      </c>
      <c r="U14" s="229">
        <f t="shared" si="0"/>
        <v>17000</v>
      </c>
      <c r="V14" s="229">
        <f t="shared" si="0"/>
        <v>18000</v>
      </c>
      <c r="W14" s="229">
        <f t="shared" si="0"/>
        <v>19000</v>
      </c>
      <c r="X14" s="229">
        <f t="shared" si="0"/>
        <v>20000</v>
      </c>
      <c r="Y14" s="229">
        <f t="shared" si="0"/>
        <v>21000</v>
      </c>
      <c r="Z14" s="229">
        <f t="shared" si="0"/>
        <v>22000</v>
      </c>
      <c r="AA14" s="229">
        <f t="shared" si="0"/>
        <v>23000</v>
      </c>
      <c r="AB14" s="229">
        <f t="shared" si="0"/>
        <v>24000</v>
      </c>
      <c r="AC14" s="229">
        <f t="shared" si="0"/>
        <v>25000</v>
      </c>
      <c r="AD14" s="230">
        <f t="shared" si="0"/>
        <v>26000</v>
      </c>
      <c r="AE14" s="230">
        <f t="shared" si="0"/>
        <v>27000</v>
      </c>
      <c r="AF14" s="230">
        <f t="shared" si="0"/>
        <v>28000</v>
      </c>
      <c r="AG14" s="230">
        <f t="shared" si="0"/>
        <v>29000</v>
      </c>
      <c r="AH14" s="230">
        <f t="shared" si="0"/>
        <v>30000</v>
      </c>
    </row>
    <row r="15" spans="2:34" hidden="1">
      <c r="C15" s="318" t="s">
        <v>8</v>
      </c>
      <c r="D15" s="316">
        <v>0</v>
      </c>
      <c r="E15" s="316">
        <f t="shared" ref="E15:AH15" si="1">E14/periodmultiplier</f>
        <v>1000</v>
      </c>
      <c r="F15" s="316">
        <f t="shared" si="1"/>
        <v>2000</v>
      </c>
      <c r="G15" s="316">
        <f t="shared" si="1"/>
        <v>3000</v>
      </c>
      <c r="H15" s="316">
        <f t="shared" si="1"/>
        <v>4000</v>
      </c>
      <c r="I15" s="229">
        <f t="shared" si="1"/>
        <v>5000</v>
      </c>
      <c r="J15" s="229">
        <f t="shared" si="1"/>
        <v>6000</v>
      </c>
      <c r="K15" s="229">
        <f t="shared" si="1"/>
        <v>7000</v>
      </c>
      <c r="L15" s="229">
        <f t="shared" si="1"/>
        <v>8000</v>
      </c>
      <c r="M15" s="229">
        <f t="shared" si="1"/>
        <v>9000</v>
      </c>
      <c r="N15" s="229">
        <f t="shared" si="1"/>
        <v>10000</v>
      </c>
      <c r="O15" s="229">
        <f t="shared" si="1"/>
        <v>11000</v>
      </c>
      <c r="P15" s="229">
        <f t="shared" si="1"/>
        <v>12000</v>
      </c>
      <c r="Q15" s="229">
        <f t="shared" si="1"/>
        <v>13000</v>
      </c>
      <c r="R15" s="229">
        <f t="shared" si="1"/>
        <v>14000</v>
      </c>
      <c r="S15" s="229">
        <f t="shared" si="1"/>
        <v>15000</v>
      </c>
      <c r="T15" s="229">
        <f t="shared" si="1"/>
        <v>16000</v>
      </c>
      <c r="U15" s="229">
        <f t="shared" si="1"/>
        <v>17000</v>
      </c>
      <c r="V15" s="229">
        <f t="shared" si="1"/>
        <v>18000</v>
      </c>
      <c r="W15" s="229">
        <f t="shared" si="1"/>
        <v>19000</v>
      </c>
      <c r="X15" s="229">
        <f t="shared" si="1"/>
        <v>20000</v>
      </c>
      <c r="Y15" s="229">
        <f t="shared" si="1"/>
        <v>21000</v>
      </c>
      <c r="Z15" s="229">
        <f t="shared" si="1"/>
        <v>22000</v>
      </c>
      <c r="AA15" s="229">
        <f t="shared" si="1"/>
        <v>23000</v>
      </c>
      <c r="AB15" s="229">
        <f t="shared" si="1"/>
        <v>24000</v>
      </c>
      <c r="AC15" s="229">
        <f t="shared" si="1"/>
        <v>25000</v>
      </c>
      <c r="AD15" s="230">
        <f t="shared" si="1"/>
        <v>26000</v>
      </c>
      <c r="AE15" s="230">
        <f t="shared" si="1"/>
        <v>27000</v>
      </c>
      <c r="AF15" s="230">
        <f t="shared" si="1"/>
        <v>28000</v>
      </c>
      <c r="AG15" s="230">
        <f t="shared" si="1"/>
        <v>29000</v>
      </c>
      <c r="AH15" s="230">
        <f t="shared" si="1"/>
        <v>30000</v>
      </c>
    </row>
    <row r="16" spans="2:34" hidden="1">
      <c r="C16" s="230"/>
      <c r="D16" s="316"/>
      <c r="E16" s="316"/>
      <c r="F16" s="316"/>
      <c r="G16" s="316"/>
      <c r="H16" s="317"/>
    </row>
    <row r="17" spans="2:19" ht="13.5" hidden="1" thickBot="1">
      <c r="C17" s="230"/>
      <c r="D17" s="316"/>
      <c r="E17" s="316"/>
      <c r="F17" s="316"/>
      <c r="G17" s="316"/>
      <c r="H17" s="317"/>
    </row>
    <row r="18" spans="2:19" ht="27" customHeight="1">
      <c r="B18" s="253" t="s">
        <v>298</v>
      </c>
      <c r="C18" s="232"/>
      <c r="D18" s="254"/>
      <c r="E18" s="254"/>
      <c r="F18" s="254"/>
      <c r="G18" s="254"/>
      <c r="H18" s="255"/>
    </row>
    <row r="19" spans="2:19" ht="53.25" customHeight="1">
      <c r="B19" s="985" t="s">
        <v>392</v>
      </c>
      <c r="C19" s="986"/>
      <c r="D19" s="986"/>
      <c r="E19" s="986"/>
      <c r="F19" s="986"/>
      <c r="G19" s="986"/>
      <c r="H19" s="987"/>
    </row>
    <row r="20" spans="2:19" ht="15">
      <c r="B20" s="259"/>
      <c r="C20" s="235"/>
      <c r="D20" s="235"/>
      <c r="E20" s="235"/>
      <c r="F20" s="235"/>
      <c r="G20" s="235"/>
      <c r="H20" s="319"/>
    </row>
    <row r="21" spans="2:19" ht="15.75">
      <c r="B21" s="262" t="s">
        <v>285</v>
      </c>
      <c r="C21" s="235"/>
      <c r="D21" s="235"/>
      <c r="E21" s="235"/>
      <c r="F21" s="235"/>
      <c r="G21" s="235"/>
      <c r="H21" s="319"/>
      <c r="L21" s="320" t="s">
        <v>289</v>
      </c>
      <c r="M21" s="320" t="s">
        <v>215</v>
      </c>
      <c r="N21" s="320" t="s">
        <v>217</v>
      </c>
      <c r="O21" s="320" t="s">
        <v>219</v>
      </c>
      <c r="P21" s="320" t="s">
        <v>218</v>
      </c>
      <c r="Q21" s="320" t="s">
        <v>220</v>
      </c>
      <c r="R21" s="320" t="s">
        <v>221</v>
      </c>
      <c r="S21" s="320" t="s">
        <v>216</v>
      </c>
    </row>
    <row r="22" spans="2:19" ht="13.5" thickBot="1">
      <c r="B22" s="264"/>
      <c r="C22" s="235"/>
      <c r="D22" s="235"/>
      <c r="E22" s="265"/>
      <c r="F22" s="265"/>
      <c r="G22" s="235"/>
      <c r="H22" s="319"/>
      <c r="L22" s="321">
        <f>D15</f>
        <v>0</v>
      </c>
      <c r="M22" s="322">
        <f>IF($C$6=Callouts!$N$2,'Input REFERENCE Rates'!M24,IF(L22&lt;=$F$24,0,VLOOKUP(L22,$C$39:$F$48,4)))</f>
        <v>0</v>
      </c>
      <c r="N22" s="311">
        <f>IF(L22&lt;=$F$24,0,VLOOKUP(L22,$C$39:$F$48,1)-1)</f>
        <v>0</v>
      </c>
      <c r="O22" s="311">
        <f>L22-N22</f>
        <v>0</v>
      </c>
      <c r="P22" s="322">
        <v>0</v>
      </c>
      <c r="Q22" s="311">
        <f>1000-O22</f>
        <v>1000</v>
      </c>
      <c r="R22" s="322">
        <f>M22*(O22/1000)+P22*(Q22/1000)</f>
        <v>0</v>
      </c>
      <c r="S22" s="322">
        <f>IF($C$6=Callouts!$N$2,'Input REFERENCE Rates'!S24,IF(D24="",D25,D24))</f>
        <v>8</v>
      </c>
    </row>
    <row r="23" spans="2:19" ht="14.25">
      <c r="B23" s="234"/>
      <c r="C23" s="269" t="s">
        <v>282</v>
      </c>
      <c r="D23" s="504" t="str">
        <f>BillingPeriod&amp;" Base Charge"</f>
        <v>Monthly Base Charge</v>
      </c>
      <c r="E23" s="270"/>
      <c r="F23" s="504" t="s">
        <v>290</v>
      </c>
      <c r="G23" s="272"/>
      <c r="H23" s="319"/>
      <c r="L23" s="321">
        <v>1000</v>
      </c>
      <c r="M23" s="322">
        <f>IF($C$6=Callouts!$N$2,'Input REFERENCE Rates'!M25,IF(L23&lt;=$F$24,0,VLOOKUP(L23,$C$39:$F$48,4)))</f>
        <v>1.5</v>
      </c>
      <c r="N23" s="311">
        <f t="shared" ref="N23:N47" si="2">IF(L23&lt;=$F$24,L22,MAX(L22,VLOOKUP(L23,$C$39:$F$48,1)-1))</f>
        <v>0</v>
      </c>
      <c r="O23" s="311">
        <f t="shared" ref="O23:O47" si="3">L23-N23</f>
        <v>1000</v>
      </c>
      <c r="P23" s="322">
        <f t="shared" ref="P23:P47" si="4">M22</f>
        <v>0</v>
      </c>
      <c r="Q23" s="311">
        <f t="shared" ref="Q23:Q39" si="5">1000-O23</f>
        <v>0</v>
      </c>
      <c r="R23" s="322">
        <f t="shared" ref="R23:R39" si="6">M23*(O23/1000)+P23*(Q23/1000)</f>
        <v>1.5</v>
      </c>
      <c r="S23" s="322">
        <f t="shared" ref="S23:S39" si="7">S22+R23</f>
        <v>9.5</v>
      </c>
    </row>
    <row r="24" spans="2:19" ht="14.25">
      <c r="B24" s="234"/>
      <c r="C24" s="323" t="s">
        <v>283</v>
      </c>
      <c r="D24" s="524">
        <v>8</v>
      </c>
      <c r="E24" s="324" t="s">
        <v>28</v>
      </c>
      <c r="F24" s="522">
        <v>0</v>
      </c>
      <c r="G24" s="325" t="str">
        <f>"gallons"&amp;$D$8</f>
        <v>gallons/month</v>
      </c>
      <c r="H24" s="319"/>
      <c r="L24" s="321">
        <v>2000</v>
      </c>
      <c r="M24" s="322">
        <f>IF($C$6=Callouts!$N$2,'Input REFERENCE Rates'!M26,IF(L24&lt;=$F$24,0,VLOOKUP(L24,$C$39:$F$48,4)))</f>
        <v>1.5</v>
      </c>
      <c r="N24" s="311">
        <f t="shared" si="2"/>
        <v>1000</v>
      </c>
      <c r="O24" s="311">
        <f t="shared" si="3"/>
        <v>1000</v>
      </c>
      <c r="P24" s="322">
        <f t="shared" si="4"/>
        <v>1.5</v>
      </c>
      <c r="Q24" s="311">
        <f t="shared" si="5"/>
        <v>0</v>
      </c>
      <c r="R24" s="322">
        <f t="shared" si="6"/>
        <v>1.5</v>
      </c>
      <c r="S24" s="322">
        <f t="shared" si="7"/>
        <v>11</v>
      </c>
    </row>
    <row r="25" spans="2:19" ht="15" thickBot="1">
      <c r="B25" s="234"/>
      <c r="C25" s="326" t="s">
        <v>18</v>
      </c>
      <c r="D25" s="521">
        <v>8</v>
      </c>
      <c r="E25" s="327" t="s">
        <v>28</v>
      </c>
      <c r="F25" s="523">
        <v>0</v>
      </c>
      <c r="G25" s="328" t="str">
        <f t="shared" ref="G25:G34" si="8">"gallons"&amp;$D$8</f>
        <v>gallons/month</v>
      </c>
      <c r="H25" s="319"/>
      <c r="L25" s="321">
        <v>3000</v>
      </c>
      <c r="M25" s="322">
        <f>IF($C$6=Callouts!$N$2,'Input REFERENCE Rates'!M27,IF(L25&lt;=$F$24,0,VLOOKUP(L25,$C$39:$F$48,4)))</f>
        <v>2.5</v>
      </c>
      <c r="N25" s="311">
        <f t="shared" si="2"/>
        <v>2000</v>
      </c>
      <c r="O25" s="311">
        <f t="shared" si="3"/>
        <v>1000</v>
      </c>
      <c r="P25" s="322">
        <f t="shared" si="4"/>
        <v>1.5</v>
      </c>
      <c r="Q25" s="311">
        <f t="shared" si="5"/>
        <v>0</v>
      </c>
      <c r="R25" s="322">
        <f t="shared" si="6"/>
        <v>2.5</v>
      </c>
      <c r="S25" s="322">
        <f t="shared" si="7"/>
        <v>13.5</v>
      </c>
    </row>
    <row r="26" spans="2:19" hidden="1">
      <c r="B26" s="234"/>
      <c r="C26" s="500" t="s">
        <v>19</v>
      </c>
      <c r="D26" s="279">
        <v>7</v>
      </c>
      <c r="E26" s="235" t="s">
        <v>28</v>
      </c>
      <c r="F26" s="280">
        <v>0</v>
      </c>
      <c r="G26" s="235" t="str">
        <f t="shared" si="8"/>
        <v>gallons/month</v>
      </c>
      <c r="H26" s="319"/>
      <c r="L26" s="321">
        <v>4000</v>
      </c>
      <c r="M26" s="322">
        <f>IF($C$6=Callouts!$N$2,'Input REFERENCE Rates'!M28,IF(L26&lt;=$F$24,0,VLOOKUP(L26,$C$39:$F$48,4)))</f>
        <v>2.5</v>
      </c>
      <c r="N26" s="311">
        <f t="shared" si="2"/>
        <v>3000</v>
      </c>
      <c r="O26" s="311">
        <f t="shared" si="3"/>
        <v>1000</v>
      </c>
      <c r="P26" s="322">
        <f t="shared" si="4"/>
        <v>2.5</v>
      </c>
      <c r="Q26" s="311">
        <f t="shared" si="5"/>
        <v>0</v>
      </c>
      <c r="R26" s="322">
        <f t="shared" si="6"/>
        <v>2.5</v>
      </c>
      <c r="S26" s="322">
        <f t="shared" si="7"/>
        <v>16</v>
      </c>
    </row>
    <row r="27" spans="2:19" hidden="1">
      <c r="B27" s="234"/>
      <c r="C27" s="500" t="s">
        <v>22</v>
      </c>
      <c r="D27" s="279">
        <v>7</v>
      </c>
      <c r="E27" s="235" t="s">
        <v>28</v>
      </c>
      <c r="F27" s="280">
        <v>0</v>
      </c>
      <c r="G27" s="235" t="str">
        <f t="shared" si="8"/>
        <v>gallons/month</v>
      </c>
      <c r="H27" s="319"/>
      <c r="L27" s="321">
        <v>5000</v>
      </c>
      <c r="M27" s="322">
        <f>IF($C$6=Callouts!$N$2,'Input REFERENCE Rates'!M29,IF(L27&lt;=$F$24,0,VLOOKUP(L27,$C$39:$F$48,4)))</f>
        <v>2.5</v>
      </c>
      <c r="N27" s="311">
        <f t="shared" si="2"/>
        <v>4000</v>
      </c>
      <c r="O27" s="311">
        <f t="shared" si="3"/>
        <v>1000</v>
      </c>
      <c r="P27" s="322">
        <f t="shared" si="4"/>
        <v>2.5</v>
      </c>
      <c r="Q27" s="311">
        <f t="shared" si="5"/>
        <v>0</v>
      </c>
      <c r="R27" s="322">
        <f t="shared" si="6"/>
        <v>2.5</v>
      </c>
      <c r="S27" s="322">
        <f t="shared" si="7"/>
        <v>18.5</v>
      </c>
    </row>
    <row r="28" spans="2:19" hidden="1">
      <c r="B28" s="234"/>
      <c r="C28" s="500" t="s">
        <v>20</v>
      </c>
      <c r="D28" s="279">
        <v>7</v>
      </c>
      <c r="E28" s="235" t="s">
        <v>28</v>
      </c>
      <c r="F28" s="280">
        <v>0</v>
      </c>
      <c r="G28" s="235" t="str">
        <f t="shared" si="8"/>
        <v>gallons/month</v>
      </c>
      <c r="H28" s="319"/>
      <c r="L28" s="321">
        <v>6000</v>
      </c>
      <c r="M28" s="322">
        <f>IF($C$6=Callouts!$N$2,'Input REFERENCE Rates'!M30,IF(L28&lt;=$F$24,0,VLOOKUP(L28,$C$39:$F$48,4)))</f>
        <v>2.5</v>
      </c>
      <c r="N28" s="311">
        <f t="shared" si="2"/>
        <v>5000</v>
      </c>
      <c r="O28" s="311">
        <f t="shared" si="3"/>
        <v>1000</v>
      </c>
      <c r="P28" s="322">
        <f t="shared" si="4"/>
        <v>2.5</v>
      </c>
      <c r="Q28" s="311">
        <f t="shared" si="5"/>
        <v>0</v>
      </c>
      <c r="R28" s="322">
        <f t="shared" si="6"/>
        <v>2.5</v>
      </c>
      <c r="S28" s="322">
        <f t="shared" si="7"/>
        <v>21</v>
      </c>
    </row>
    <row r="29" spans="2:19" hidden="1">
      <c r="B29" s="234"/>
      <c r="C29" s="500" t="s">
        <v>21</v>
      </c>
      <c r="D29" s="279">
        <v>7</v>
      </c>
      <c r="E29" s="235" t="s">
        <v>28</v>
      </c>
      <c r="F29" s="280">
        <v>0</v>
      </c>
      <c r="G29" s="235" t="str">
        <f t="shared" si="8"/>
        <v>gallons/month</v>
      </c>
      <c r="H29" s="319"/>
      <c r="L29" s="321">
        <v>7000</v>
      </c>
      <c r="M29" s="322">
        <f>IF($C$6=Callouts!$N$2,'Input REFERENCE Rates'!M31,IF(L29&lt;=$F$24,0,VLOOKUP(L29,$C$39:$F$48,4)))</f>
        <v>2.5</v>
      </c>
      <c r="N29" s="311">
        <f t="shared" si="2"/>
        <v>6000</v>
      </c>
      <c r="O29" s="311">
        <f t="shared" si="3"/>
        <v>1000</v>
      </c>
      <c r="P29" s="322">
        <f t="shared" si="4"/>
        <v>2.5</v>
      </c>
      <c r="Q29" s="311">
        <f t="shared" si="5"/>
        <v>0</v>
      </c>
      <c r="R29" s="322">
        <f t="shared" si="6"/>
        <v>2.5</v>
      </c>
      <c r="S29" s="322">
        <f t="shared" si="7"/>
        <v>23.5</v>
      </c>
    </row>
    <row r="30" spans="2:19" hidden="1">
      <c r="B30" s="234"/>
      <c r="C30" s="500" t="s">
        <v>23</v>
      </c>
      <c r="D30" s="279">
        <v>7</v>
      </c>
      <c r="E30" s="235" t="s">
        <v>28</v>
      </c>
      <c r="F30" s="280">
        <v>0</v>
      </c>
      <c r="G30" s="235" t="str">
        <f t="shared" si="8"/>
        <v>gallons/month</v>
      </c>
      <c r="H30" s="319"/>
      <c r="L30" s="321">
        <v>8000</v>
      </c>
      <c r="M30" s="322">
        <f>IF($C$6=Callouts!$N$2,'Input REFERENCE Rates'!M32,IF(L30&lt;=$F$24,0,VLOOKUP(L30,$C$39:$F$48,4)))</f>
        <v>2.5</v>
      </c>
      <c r="N30" s="311">
        <f t="shared" si="2"/>
        <v>7000</v>
      </c>
      <c r="O30" s="311">
        <f t="shared" si="3"/>
        <v>1000</v>
      </c>
      <c r="P30" s="322">
        <f t="shared" si="4"/>
        <v>2.5</v>
      </c>
      <c r="Q30" s="311">
        <f t="shared" si="5"/>
        <v>0</v>
      </c>
      <c r="R30" s="322">
        <f t="shared" si="6"/>
        <v>2.5</v>
      </c>
      <c r="S30" s="322">
        <f t="shared" si="7"/>
        <v>26</v>
      </c>
    </row>
    <row r="31" spans="2:19" hidden="1">
      <c r="B31" s="234"/>
      <c r="C31" s="500" t="s">
        <v>24</v>
      </c>
      <c r="D31" s="279">
        <v>7</v>
      </c>
      <c r="E31" s="235" t="s">
        <v>28</v>
      </c>
      <c r="F31" s="280">
        <v>0</v>
      </c>
      <c r="G31" s="235" t="str">
        <f t="shared" si="8"/>
        <v>gallons/month</v>
      </c>
      <c r="H31" s="319"/>
      <c r="L31" s="321">
        <v>9000</v>
      </c>
      <c r="M31" s="322">
        <f>IF($C$6=Callouts!$N$2,'Input REFERENCE Rates'!M33,IF(L31&lt;=$F$24,0,VLOOKUP(L31,$C$39:$F$48,4)))</f>
        <v>2.5</v>
      </c>
      <c r="N31" s="311">
        <f t="shared" si="2"/>
        <v>8000</v>
      </c>
      <c r="O31" s="311">
        <f t="shared" si="3"/>
        <v>1000</v>
      </c>
      <c r="P31" s="322">
        <f t="shared" si="4"/>
        <v>2.5</v>
      </c>
      <c r="Q31" s="311">
        <f t="shared" si="5"/>
        <v>0</v>
      </c>
      <c r="R31" s="322">
        <f t="shared" si="6"/>
        <v>2.5</v>
      </c>
      <c r="S31" s="322">
        <f t="shared" si="7"/>
        <v>28.5</v>
      </c>
    </row>
    <row r="32" spans="2:19" hidden="1">
      <c r="B32" s="234"/>
      <c r="C32" s="500" t="s">
        <v>25</v>
      </c>
      <c r="D32" s="279">
        <v>7</v>
      </c>
      <c r="E32" s="235" t="s">
        <v>28</v>
      </c>
      <c r="F32" s="280">
        <v>0</v>
      </c>
      <c r="G32" s="235" t="str">
        <f t="shared" si="8"/>
        <v>gallons/month</v>
      </c>
      <c r="H32" s="319"/>
      <c r="L32" s="321">
        <v>10000</v>
      </c>
      <c r="M32" s="322">
        <f>IF($C$6=Callouts!$N$2,'Input REFERENCE Rates'!M34,IF(L32&lt;=$F$24,0,VLOOKUP(L32,$C$39:$F$48,4)))</f>
        <v>2.5</v>
      </c>
      <c r="N32" s="311">
        <f t="shared" si="2"/>
        <v>9000</v>
      </c>
      <c r="O32" s="311">
        <f t="shared" si="3"/>
        <v>1000</v>
      </c>
      <c r="P32" s="322">
        <f t="shared" si="4"/>
        <v>2.5</v>
      </c>
      <c r="Q32" s="311">
        <f t="shared" si="5"/>
        <v>0</v>
      </c>
      <c r="R32" s="322">
        <f t="shared" si="6"/>
        <v>2.5</v>
      </c>
      <c r="S32" s="322">
        <f t="shared" si="7"/>
        <v>31</v>
      </c>
    </row>
    <row r="33" spans="2:29" hidden="1">
      <c r="B33" s="234"/>
      <c r="C33" s="500" t="s">
        <v>26</v>
      </c>
      <c r="D33" s="279">
        <v>7</v>
      </c>
      <c r="E33" s="235" t="s">
        <v>28</v>
      </c>
      <c r="F33" s="280">
        <v>0</v>
      </c>
      <c r="G33" s="235" t="str">
        <f t="shared" si="8"/>
        <v>gallons/month</v>
      </c>
      <c r="H33" s="319"/>
      <c r="L33" s="321">
        <v>11000</v>
      </c>
      <c r="M33" s="322">
        <f>IF($C$6=Callouts!$N$2,'Input REFERENCE Rates'!M35,IF(L33&lt;=$F$24,0,VLOOKUP(L33,$C$39:$F$48,4)))</f>
        <v>2.5</v>
      </c>
      <c r="N33" s="311">
        <f t="shared" si="2"/>
        <v>10000</v>
      </c>
      <c r="O33" s="311">
        <f t="shared" si="3"/>
        <v>1000</v>
      </c>
      <c r="P33" s="322">
        <f t="shared" si="4"/>
        <v>2.5</v>
      </c>
      <c r="Q33" s="311">
        <f t="shared" si="5"/>
        <v>0</v>
      </c>
      <c r="R33" s="322">
        <f t="shared" si="6"/>
        <v>2.5</v>
      </c>
      <c r="S33" s="322">
        <f t="shared" si="7"/>
        <v>33.5</v>
      </c>
    </row>
    <row r="34" spans="2:29" hidden="1">
      <c r="B34" s="234"/>
      <c r="C34" s="500" t="s">
        <v>27</v>
      </c>
      <c r="D34" s="279">
        <v>7</v>
      </c>
      <c r="E34" s="235" t="s">
        <v>28</v>
      </c>
      <c r="F34" s="280">
        <v>0</v>
      </c>
      <c r="G34" s="235" t="str">
        <f t="shared" si="8"/>
        <v>gallons/month</v>
      </c>
      <c r="H34" s="319"/>
      <c r="L34" s="321">
        <v>12000</v>
      </c>
      <c r="M34" s="322">
        <f>IF($C$6=Callouts!$N$2,'Input REFERENCE Rates'!M36,IF(L34&lt;=$F$24,0,VLOOKUP(L34,$C$39:$F$48,4)))</f>
        <v>2.5</v>
      </c>
      <c r="N34" s="311">
        <f t="shared" si="2"/>
        <v>11000</v>
      </c>
      <c r="O34" s="311">
        <f t="shared" si="3"/>
        <v>1000</v>
      </c>
      <c r="P34" s="322">
        <f t="shared" si="4"/>
        <v>2.5</v>
      </c>
      <c r="Q34" s="311">
        <f t="shared" si="5"/>
        <v>0</v>
      </c>
      <c r="R34" s="322">
        <f t="shared" si="6"/>
        <v>2.5</v>
      </c>
      <c r="S34" s="322">
        <f t="shared" si="7"/>
        <v>36</v>
      </c>
    </row>
    <row r="35" spans="2:29">
      <c r="B35" s="234"/>
      <c r="C35" s="235"/>
      <c r="D35" s="235"/>
      <c r="E35" s="235"/>
      <c r="F35" s="235"/>
      <c r="G35" s="235"/>
      <c r="H35" s="319"/>
      <c r="L35" s="321">
        <v>13000</v>
      </c>
      <c r="M35" s="322">
        <f>IF($C$6=Callouts!$N$2,'Input REFERENCE Rates'!M37,IF(L35&lt;=$F$24,0,VLOOKUP(L35,$C$39:$F$48,4)))</f>
        <v>2.5</v>
      </c>
      <c r="N35" s="311">
        <f t="shared" si="2"/>
        <v>12000</v>
      </c>
      <c r="O35" s="311">
        <f t="shared" si="3"/>
        <v>1000</v>
      </c>
      <c r="P35" s="322">
        <f t="shared" si="4"/>
        <v>2.5</v>
      </c>
      <c r="Q35" s="311">
        <f t="shared" si="5"/>
        <v>0</v>
      </c>
      <c r="R35" s="322">
        <f t="shared" si="6"/>
        <v>2.5</v>
      </c>
      <c r="S35" s="322">
        <f t="shared" si="7"/>
        <v>38.5</v>
      </c>
    </row>
    <row r="36" spans="2:29" ht="15.75">
      <c r="B36" s="262" t="s">
        <v>284</v>
      </c>
      <c r="C36" s="235"/>
      <c r="D36" s="235"/>
      <c r="E36" s="235"/>
      <c r="F36" s="235"/>
      <c r="G36" s="235"/>
      <c r="H36" s="319"/>
      <c r="L36" s="321">
        <v>14000</v>
      </c>
      <c r="M36" s="322">
        <f>IF($C$6=Callouts!$N$2,'Input REFERENCE Rates'!M38,IF(L36&lt;=$F$24,0,VLOOKUP(L36,$C$39:$F$48,4)))</f>
        <v>2.5</v>
      </c>
      <c r="N36" s="311">
        <f t="shared" si="2"/>
        <v>13000</v>
      </c>
      <c r="O36" s="311">
        <f t="shared" si="3"/>
        <v>1000</v>
      </c>
      <c r="P36" s="322">
        <f t="shared" si="4"/>
        <v>2.5</v>
      </c>
      <c r="Q36" s="311">
        <f t="shared" si="5"/>
        <v>0</v>
      </c>
      <c r="R36" s="322">
        <f t="shared" si="6"/>
        <v>2.5</v>
      </c>
      <c r="S36" s="322">
        <f t="shared" si="7"/>
        <v>41</v>
      </c>
    </row>
    <row r="37" spans="2:29" ht="13.5" thickBot="1">
      <c r="B37" s="991"/>
      <c r="C37" s="992"/>
      <c r="D37" s="235"/>
      <c r="E37" s="235"/>
      <c r="F37" s="235"/>
      <c r="G37" s="235"/>
      <c r="H37" s="319"/>
      <c r="L37" s="321">
        <v>15000</v>
      </c>
      <c r="M37" s="322">
        <f>IF($C$6=Callouts!$N$2,'Input REFERENCE Rates'!M39,IF(L37&lt;=$F$24,0,VLOOKUP(L37,$C$39:$F$48,4)))</f>
        <v>2.5</v>
      </c>
      <c r="N37" s="311">
        <f t="shared" si="2"/>
        <v>14000</v>
      </c>
      <c r="O37" s="311">
        <f t="shared" si="3"/>
        <v>1000</v>
      </c>
      <c r="P37" s="322">
        <f t="shared" si="4"/>
        <v>2.5</v>
      </c>
      <c r="Q37" s="311">
        <f t="shared" si="5"/>
        <v>0</v>
      </c>
      <c r="R37" s="322">
        <f t="shared" si="6"/>
        <v>2.5</v>
      </c>
      <c r="S37" s="322">
        <f t="shared" si="7"/>
        <v>43.5</v>
      </c>
    </row>
    <row r="38" spans="2:29" s="331" customFormat="1" ht="76.5" customHeight="1">
      <c r="B38" s="282" t="s">
        <v>286</v>
      </c>
      <c r="C38" s="498" t="str">
        <f>"Monthly volume at the start of the block 
("&amp;G24&amp;")"</f>
        <v>Monthly volume at the start of the block 
(gallons/month)</v>
      </c>
      <c r="D38" s="498" t="str">
        <f>"Monthly volume at the end of the block ("&amp;G24&amp;"). Leave blank if not applicable."</f>
        <v>Monthly volume at the end of the block (gallons/month). Leave blank if not applicable.</v>
      </c>
      <c r="E38" s="498" t="s">
        <v>287</v>
      </c>
      <c r="F38" s="989" t="s">
        <v>288</v>
      </c>
      <c r="G38" s="990"/>
      <c r="H38" s="329"/>
      <c r="I38" s="330" t="s">
        <v>222</v>
      </c>
      <c r="J38" s="330" t="s">
        <v>223</v>
      </c>
      <c r="K38" s="330"/>
      <c r="L38" s="321">
        <v>16000</v>
      </c>
      <c r="M38" s="322">
        <f>IF($C$6=Callouts!$N$2,'Input REFERENCE Rates'!M40,IF(L38&lt;=$F$24,0,VLOOKUP(L38,$C$39:$F$48,4)))</f>
        <v>2.5</v>
      </c>
      <c r="N38" s="311">
        <f t="shared" si="2"/>
        <v>15000</v>
      </c>
      <c r="O38" s="311">
        <f t="shared" si="3"/>
        <v>1000</v>
      </c>
      <c r="P38" s="322">
        <f t="shared" si="4"/>
        <v>2.5</v>
      </c>
      <c r="Q38" s="311">
        <f t="shared" si="5"/>
        <v>0</v>
      </c>
      <c r="R38" s="322">
        <f t="shared" si="6"/>
        <v>2.5</v>
      </c>
      <c r="S38" s="322">
        <f t="shared" si="7"/>
        <v>46</v>
      </c>
      <c r="T38" s="330"/>
      <c r="U38" s="330"/>
      <c r="V38" s="330"/>
      <c r="W38" s="330"/>
      <c r="X38" s="330"/>
      <c r="Y38" s="330"/>
      <c r="Z38" s="330"/>
      <c r="AA38" s="330"/>
      <c r="AB38" s="330"/>
      <c r="AC38" s="330"/>
    </row>
    <row r="39" spans="2:29" ht="14.25">
      <c r="B39" s="273">
        <v>1</v>
      </c>
      <c r="C39" s="505">
        <f>F24+1</f>
        <v>1</v>
      </c>
      <c r="D39" s="506">
        <v>2000</v>
      </c>
      <c r="E39" s="274" t="str">
        <f>IF(D39&gt;0,"From "&amp;C39&amp;" to "&amp;D39&amp;" "&amp;$D$9&amp;$D$8,IF(C39="","","All consumption above "&amp;C39-1&amp;" "&amp;$D$9&amp;$D$8))</f>
        <v>From 1 to 2000 gallons/month</v>
      </c>
      <c r="F39" s="38">
        <v>1.5</v>
      </c>
      <c r="G39" s="275" t="str">
        <f t="shared" ref="G39:G48" si="9">IF(AND(C39="",D39=""),"",Units)</f>
        <v>per 1,000 gallons</v>
      </c>
      <c r="H39" s="319"/>
      <c r="I39" s="322">
        <f>IF(D39="","",F39*(D39-C39+1)/1000)</f>
        <v>3</v>
      </c>
      <c r="L39" s="321">
        <v>17000</v>
      </c>
      <c r="M39" s="322">
        <f>IF($C$6=Callouts!$N$2,'Input REFERENCE Rates'!M41,IF(L39&lt;=$F$24,0,VLOOKUP(L39,$C$39:$F$48,4)))</f>
        <v>2.5</v>
      </c>
      <c r="N39" s="311">
        <f t="shared" si="2"/>
        <v>16000</v>
      </c>
      <c r="O39" s="311">
        <f t="shared" si="3"/>
        <v>1000</v>
      </c>
      <c r="P39" s="322">
        <f t="shared" si="4"/>
        <v>2.5</v>
      </c>
      <c r="Q39" s="311">
        <f t="shared" si="5"/>
        <v>0</v>
      </c>
      <c r="R39" s="322">
        <f t="shared" si="6"/>
        <v>2.5</v>
      </c>
      <c r="S39" s="322">
        <f t="shared" si="7"/>
        <v>48.5</v>
      </c>
    </row>
    <row r="40" spans="2:29" ht="14.25">
      <c r="B40" s="273">
        <v>2</v>
      </c>
      <c r="C40" s="505">
        <f>IF(D39&gt;0,D39+1,"")</f>
        <v>2001</v>
      </c>
      <c r="D40" s="506"/>
      <c r="E40" s="274" t="str">
        <f t="shared" ref="E40:E48" si="10">IF(D40&gt;0,"From "&amp;C40&amp;" to "&amp;D40&amp;" "&amp;$D$9&amp;$D$8,IF(C40="","","All consumption above "&amp;C40-1&amp;" "&amp;$D$9&amp;$D$8))</f>
        <v>All consumption above 2000 gallons/month</v>
      </c>
      <c r="F40" s="38">
        <v>2.5</v>
      </c>
      <c r="G40" s="275" t="str">
        <f t="shared" si="9"/>
        <v>per 1,000 gallons</v>
      </c>
      <c r="H40" s="319"/>
      <c r="I40" s="322" t="str">
        <f t="shared" ref="I40:I48" si="11">IF(D40="","",F40*(D40-C40+1)/1000)</f>
        <v/>
      </c>
      <c r="J40" s="322">
        <f>IF(I39="","",I39+IF(D24="",D25,D24))</f>
        <v>11</v>
      </c>
      <c r="L40" s="321">
        <v>18000</v>
      </c>
      <c r="M40" s="322">
        <f>IF($C$6=Callouts!$N$2,'Input REFERENCE Rates'!M42,IF(L40&lt;=$F$24,0,VLOOKUP(L40,$C$39:$F$48,4)))</f>
        <v>2.5</v>
      </c>
      <c r="N40" s="311">
        <f t="shared" si="2"/>
        <v>17000</v>
      </c>
      <c r="O40" s="311">
        <f t="shared" si="3"/>
        <v>1000</v>
      </c>
      <c r="P40" s="322">
        <f t="shared" si="4"/>
        <v>2.5</v>
      </c>
      <c r="Q40" s="311">
        <f t="shared" ref="Q40:Q47" si="12">1000-O40</f>
        <v>0</v>
      </c>
      <c r="R40" s="322">
        <f>M40*(O40/1000)+P40*(Q40/1000)</f>
        <v>2.5</v>
      </c>
      <c r="S40" s="322">
        <f>S39+R40</f>
        <v>51</v>
      </c>
    </row>
    <row r="41" spans="2:29" ht="14.25">
      <c r="B41" s="273">
        <v>3</v>
      </c>
      <c r="C41" s="505" t="str">
        <f t="shared" ref="C41:C48" si="13">IF(D40&gt;0,D40+1,"")</f>
        <v/>
      </c>
      <c r="D41" s="506"/>
      <c r="E41" s="274" t="str">
        <f t="shared" si="10"/>
        <v/>
      </c>
      <c r="F41" s="38"/>
      <c r="G41" s="275" t="str">
        <f t="shared" si="9"/>
        <v/>
      </c>
      <c r="H41" s="319"/>
      <c r="I41" s="322" t="str">
        <f t="shared" si="11"/>
        <v/>
      </c>
      <c r="J41" s="322" t="str">
        <f>IF(I40="","",I40+J40)</f>
        <v/>
      </c>
      <c r="L41" s="321">
        <v>19000</v>
      </c>
      <c r="M41" s="322">
        <f>IF($C$6=Callouts!$N$2,'Input REFERENCE Rates'!M43,IF(L41&lt;=$F$24,0,VLOOKUP(L41,$C$39:$F$48,4)))</f>
        <v>2.5</v>
      </c>
      <c r="N41" s="311">
        <f t="shared" si="2"/>
        <v>18000</v>
      </c>
      <c r="O41" s="311">
        <f t="shared" si="3"/>
        <v>1000</v>
      </c>
      <c r="P41" s="322">
        <f t="shared" si="4"/>
        <v>2.5</v>
      </c>
      <c r="Q41" s="311">
        <f t="shared" si="12"/>
        <v>0</v>
      </c>
      <c r="R41" s="322">
        <f t="shared" ref="R41:R47" si="14">M41*(O41/1000)+P41*(Q41/1000)</f>
        <v>2.5</v>
      </c>
      <c r="S41" s="322">
        <f t="shared" ref="S41:S47" si="15">S40+R41</f>
        <v>53.5</v>
      </c>
    </row>
    <row r="42" spans="2:29" ht="14.25">
      <c r="B42" s="273">
        <v>4</v>
      </c>
      <c r="C42" s="505" t="str">
        <f t="shared" si="13"/>
        <v/>
      </c>
      <c r="D42" s="506"/>
      <c r="E42" s="274" t="str">
        <f t="shared" si="10"/>
        <v/>
      </c>
      <c r="F42" s="38"/>
      <c r="G42" s="275" t="str">
        <f t="shared" si="9"/>
        <v/>
      </c>
      <c r="H42" s="319"/>
      <c r="I42" s="322" t="str">
        <f t="shared" si="11"/>
        <v/>
      </c>
      <c r="J42" s="322" t="str">
        <f t="shared" ref="J42:J48" si="16">IF(I41="","",I41+J41)</f>
        <v/>
      </c>
      <c r="L42" s="321">
        <v>20000</v>
      </c>
      <c r="M42" s="322">
        <f>IF($C$6=Callouts!$N$2,'Input REFERENCE Rates'!M44,IF(L42&lt;=$F$24,0,VLOOKUP(L42,$C$39:$F$48,4)))</f>
        <v>2.5</v>
      </c>
      <c r="N42" s="311">
        <f t="shared" si="2"/>
        <v>19000</v>
      </c>
      <c r="O42" s="311">
        <f t="shared" si="3"/>
        <v>1000</v>
      </c>
      <c r="P42" s="322">
        <f t="shared" si="4"/>
        <v>2.5</v>
      </c>
      <c r="Q42" s="311">
        <f t="shared" si="12"/>
        <v>0</v>
      </c>
      <c r="R42" s="322">
        <f t="shared" si="14"/>
        <v>2.5</v>
      </c>
      <c r="S42" s="322">
        <f t="shared" si="15"/>
        <v>56</v>
      </c>
    </row>
    <row r="43" spans="2:29" ht="14.25">
      <c r="B43" s="273">
        <v>5</v>
      </c>
      <c r="C43" s="505" t="str">
        <f t="shared" si="13"/>
        <v/>
      </c>
      <c r="D43" s="506"/>
      <c r="E43" s="274" t="str">
        <f t="shared" si="10"/>
        <v/>
      </c>
      <c r="F43" s="38"/>
      <c r="G43" s="275" t="str">
        <f t="shared" si="9"/>
        <v/>
      </c>
      <c r="H43" s="319"/>
      <c r="I43" s="322" t="str">
        <f t="shared" si="11"/>
        <v/>
      </c>
      <c r="J43" s="322" t="str">
        <f t="shared" si="16"/>
        <v/>
      </c>
      <c r="L43" s="321">
        <v>21000</v>
      </c>
      <c r="M43" s="322">
        <f>IF($C$6=Callouts!$N$2,'Input REFERENCE Rates'!M45,IF(L43&lt;=$F$24,0,VLOOKUP(L43,$C$39:$F$48,4)))</f>
        <v>2.5</v>
      </c>
      <c r="N43" s="311">
        <f t="shared" si="2"/>
        <v>20000</v>
      </c>
      <c r="O43" s="311">
        <f t="shared" si="3"/>
        <v>1000</v>
      </c>
      <c r="P43" s="322">
        <f t="shared" si="4"/>
        <v>2.5</v>
      </c>
      <c r="Q43" s="311">
        <f t="shared" si="12"/>
        <v>0</v>
      </c>
      <c r="R43" s="322">
        <f t="shared" si="14"/>
        <v>2.5</v>
      </c>
      <c r="S43" s="322">
        <f t="shared" si="15"/>
        <v>58.5</v>
      </c>
    </row>
    <row r="44" spans="2:29" ht="14.25">
      <c r="B44" s="273">
        <v>6</v>
      </c>
      <c r="C44" s="505" t="str">
        <f t="shared" si="13"/>
        <v/>
      </c>
      <c r="D44" s="506"/>
      <c r="E44" s="274" t="str">
        <f t="shared" si="10"/>
        <v/>
      </c>
      <c r="F44" s="38"/>
      <c r="G44" s="275" t="str">
        <f t="shared" si="9"/>
        <v/>
      </c>
      <c r="H44" s="319"/>
      <c r="I44" s="322" t="str">
        <f t="shared" si="11"/>
        <v/>
      </c>
      <c r="J44" s="322" t="str">
        <f t="shared" si="16"/>
        <v/>
      </c>
      <c r="L44" s="321">
        <v>22000</v>
      </c>
      <c r="M44" s="322">
        <f>IF($C$6=Callouts!$N$2,'Input REFERENCE Rates'!M46,IF(L44&lt;=$F$24,0,VLOOKUP(L44,$C$39:$F$48,4)))</f>
        <v>2.5</v>
      </c>
      <c r="N44" s="311">
        <f t="shared" si="2"/>
        <v>21000</v>
      </c>
      <c r="O44" s="311">
        <f t="shared" si="3"/>
        <v>1000</v>
      </c>
      <c r="P44" s="322">
        <f t="shared" si="4"/>
        <v>2.5</v>
      </c>
      <c r="Q44" s="311">
        <f t="shared" si="12"/>
        <v>0</v>
      </c>
      <c r="R44" s="322">
        <f t="shared" si="14"/>
        <v>2.5</v>
      </c>
      <c r="S44" s="322">
        <f t="shared" si="15"/>
        <v>61</v>
      </c>
    </row>
    <row r="45" spans="2:29" ht="14.25">
      <c r="B45" s="273">
        <v>7</v>
      </c>
      <c r="C45" s="505" t="str">
        <f t="shared" si="13"/>
        <v/>
      </c>
      <c r="D45" s="506"/>
      <c r="E45" s="274" t="str">
        <f t="shared" si="10"/>
        <v/>
      </c>
      <c r="F45" s="38"/>
      <c r="G45" s="275" t="str">
        <f t="shared" si="9"/>
        <v/>
      </c>
      <c r="H45" s="319"/>
      <c r="I45" s="322" t="str">
        <f t="shared" si="11"/>
        <v/>
      </c>
      <c r="J45" s="322" t="str">
        <f t="shared" si="16"/>
        <v/>
      </c>
      <c r="L45" s="321">
        <v>23000</v>
      </c>
      <c r="M45" s="322">
        <f>IF($C$6=Callouts!$N$2,'Input REFERENCE Rates'!M47,IF(L45&lt;=$F$24,0,VLOOKUP(L45,$C$39:$F$48,4)))</f>
        <v>2.5</v>
      </c>
      <c r="N45" s="311">
        <f t="shared" si="2"/>
        <v>22000</v>
      </c>
      <c r="O45" s="311">
        <f t="shared" si="3"/>
        <v>1000</v>
      </c>
      <c r="P45" s="322">
        <f t="shared" si="4"/>
        <v>2.5</v>
      </c>
      <c r="Q45" s="311">
        <f t="shared" si="12"/>
        <v>0</v>
      </c>
      <c r="R45" s="322">
        <f t="shared" si="14"/>
        <v>2.5</v>
      </c>
      <c r="S45" s="322">
        <f t="shared" si="15"/>
        <v>63.5</v>
      </c>
    </row>
    <row r="46" spans="2:29" ht="14.25">
      <c r="B46" s="273">
        <v>8</v>
      </c>
      <c r="C46" s="505" t="str">
        <f t="shared" si="13"/>
        <v/>
      </c>
      <c r="D46" s="506"/>
      <c r="E46" s="274" t="str">
        <f t="shared" si="10"/>
        <v/>
      </c>
      <c r="F46" s="38"/>
      <c r="G46" s="275" t="str">
        <f t="shared" si="9"/>
        <v/>
      </c>
      <c r="H46" s="319"/>
      <c r="I46" s="322" t="str">
        <f t="shared" si="11"/>
        <v/>
      </c>
      <c r="J46" s="322" t="str">
        <f t="shared" si="16"/>
        <v/>
      </c>
      <c r="L46" s="321">
        <v>24000</v>
      </c>
      <c r="M46" s="322">
        <f>IF($C$6=Callouts!$N$2,'Input REFERENCE Rates'!M48,IF(L46&lt;=$F$24,0,VLOOKUP(L46,$C$39:$F$48,4)))</f>
        <v>2.5</v>
      </c>
      <c r="N46" s="311">
        <f t="shared" si="2"/>
        <v>23000</v>
      </c>
      <c r="O46" s="311">
        <f t="shared" si="3"/>
        <v>1000</v>
      </c>
      <c r="P46" s="322">
        <f t="shared" si="4"/>
        <v>2.5</v>
      </c>
      <c r="Q46" s="311">
        <f t="shared" si="12"/>
        <v>0</v>
      </c>
      <c r="R46" s="322">
        <f t="shared" si="14"/>
        <v>2.5</v>
      </c>
      <c r="S46" s="322">
        <f t="shared" si="15"/>
        <v>66</v>
      </c>
    </row>
    <row r="47" spans="2:29" ht="14.25">
      <c r="B47" s="273">
        <v>9</v>
      </c>
      <c r="C47" s="505" t="str">
        <f t="shared" si="13"/>
        <v/>
      </c>
      <c r="D47" s="506"/>
      <c r="E47" s="274" t="str">
        <f t="shared" si="10"/>
        <v/>
      </c>
      <c r="F47" s="38"/>
      <c r="G47" s="275" t="str">
        <f t="shared" si="9"/>
        <v/>
      </c>
      <c r="H47" s="319"/>
      <c r="I47" s="322" t="str">
        <f t="shared" si="11"/>
        <v/>
      </c>
      <c r="J47" s="322" t="str">
        <f t="shared" si="16"/>
        <v/>
      </c>
      <c r="L47" s="321">
        <v>25000</v>
      </c>
      <c r="M47" s="322">
        <f>IF($C$6=Callouts!$N$2,'Input REFERENCE Rates'!M49,IF(L47&lt;=$F$24,0,VLOOKUP(L47,$C$39:$F$48,4)))</f>
        <v>2.5</v>
      </c>
      <c r="N47" s="311">
        <f t="shared" si="2"/>
        <v>24000</v>
      </c>
      <c r="O47" s="311">
        <f t="shared" si="3"/>
        <v>1000</v>
      </c>
      <c r="P47" s="322">
        <f t="shared" si="4"/>
        <v>2.5</v>
      </c>
      <c r="Q47" s="311">
        <f t="shared" si="12"/>
        <v>0</v>
      </c>
      <c r="R47" s="322">
        <f t="shared" si="14"/>
        <v>2.5</v>
      </c>
      <c r="S47" s="322">
        <f t="shared" si="15"/>
        <v>68.5</v>
      </c>
    </row>
    <row r="48" spans="2:29" ht="15" thickBot="1">
      <c r="B48" s="276" t="s">
        <v>277</v>
      </c>
      <c r="C48" s="507" t="str">
        <f t="shared" si="13"/>
        <v/>
      </c>
      <c r="D48" s="508"/>
      <c r="E48" s="277" t="str">
        <f t="shared" si="10"/>
        <v/>
      </c>
      <c r="F48" s="509"/>
      <c r="G48" s="278" t="str">
        <f t="shared" si="9"/>
        <v/>
      </c>
      <c r="H48" s="319"/>
      <c r="I48" s="322" t="str">
        <f t="shared" si="11"/>
        <v/>
      </c>
      <c r="J48" s="322" t="str">
        <f t="shared" si="16"/>
        <v/>
      </c>
      <c r="L48" s="321"/>
      <c r="N48" s="322"/>
      <c r="R48" s="322"/>
      <c r="S48" s="322"/>
    </row>
    <row r="49" spans="2:29" ht="13.5" thickBot="1">
      <c r="B49" s="288"/>
      <c r="C49" s="289"/>
      <c r="D49" s="245"/>
      <c r="E49" s="290"/>
      <c r="F49" s="245"/>
      <c r="G49" s="245"/>
      <c r="H49" s="315"/>
      <c r="L49" s="332">
        <f>'Revenues from REFERENCE Rates'!$E$21</f>
        <v>27500</v>
      </c>
      <c r="M49" s="322">
        <f>IF($C$6=Callouts!$N$2,'Input REFERENCE Rates'!$M$25,IF(L49&lt;=$F$24,0,VLOOKUP(L49,$C$39:$F$48,4)))</f>
        <v>2.5</v>
      </c>
      <c r="N49" s="311">
        <f t="shared" ref="N49:N55" si="17">IF(L49&lt;=$F$24,0,VLOOKUP(L49,$C$39:$F$48,1)-1)</f>
        <v>2000</v>
      </c>
      <c r="O49" s="333">
        <f t="shared" ref="O49:O55" si="18">L49-N49</f>
        <v>25500</v>
      </c>
      <c r="P49" s="322">
        <f>IF(L49&lt;=$F$24,S$22,IF(VLOOKUP(L49,$C$39:$J$48,8)=0,S$22,VLOOKUP(L49,$C$39:$J$48,8)))</f>
        <v>11</v>
      </c>
      <c r="Q49" s="333"/>
      <c r="R49" s="322"/>
      <c r="S49" s="322">
        <f>P49+M49*(O49/1000)</f>
        <v>74.75</v>
      </c>
    </row>
    <row r="50" spans="2:29" s="334" customFormat="1" ht="13.5" thickBot="1">
      <c r="H50" s="335"/>
      <c r="I50" s="320"/>
      <c r="J50" s="320"/>
      <c r="K50" s="320"/>
      <c r="L50" s="332">
        <f>'Revenues from COMPARATIVE Rates'!$AE$37</f>
        <v>27258</v>
      </c>
      <c r="M50" s="322">
        <f>IF($C$6=Callouts!$N$2,'Input REFERENCE Rates'!$M$25,IF(L50&lt;=$F$24,0,VLOOKUP(L50,$C$39:$F$48,4)))</f>
        <v>2.5</v>
      </c>
      <c r="N50" s="311">
        <f t="shared" si="17"/>
        <v>2000</v>
      </c>
      <c r="O50" s="333">
        <f t="shared" si="18"/>
        <v>25258</v>
      </c>
      <c r="P50" s="322">
        <f t="shared" ref="P50:P55" si="19">IF(L50&lt;=$F$24,S$22,IF(VLOOKUP(L50,$C$39:$J$48,8)=0,S$22,VLOOKUP(L50,$C$39:$J$48,8)))</f>
        <v>11</v>
      </c>
      <c r="Q50" s="311"/>
      <c r="R50" s="322"/>
      <c r="S50" s="322">
        <f t="shared" ref="S50:S55" si="20">P50+M50*(O50/1000)</f>
        <v>74.144999999999996</v>
      </c>
      <c r="T50" s="320"/>
      <c r="U50" s="320"/>
      <c r="V50" s="320"/>
      <c r="W50" s="320"/>
      <c r="X50" s="320"/>
      <c r="Y50" s="320"/>
      <c r="Z50" s="320"/>
      <c r="AA50" s="320"/>
      <c r="AB50" s="320"/>
      <c r="AC50" s="320"/>
    </row>
    <row r="51" spans="2:29" ht="27" customHeight="1">
      <c r="B51" s="525" t="s">
        <v>393</v>
      </c>
      <c r="C51" s="526"/>
      <c r="D51" s="526"/>
      <c r="E51" s="526"/>
      <c r="F51" s="526"/>
      <c r="G51" s="526"/>
      <c r="H51" s="515"/>
      <c r="L51" s="332">
        <f>'Significant Decline in Use'!$AE$64</f>
        <v>23169.3</v>
      </c>
      <c r="M51" s="322">
        <f>IF($C$6=Callouts!$N$2,'Input REFERENCE Rates'!$M$25,IF(L51&lt;=$F$24,0,VLOOKUP(L51,$C$39:$F$48,4)))</f>
        <v>2.5</v>
      </c>
      <c r="N51" s="311">
        <f t="shared" si="17"/>
        <v>2000</v>
      </c>
      <c r="O51" s="333">
        <f t="shared" si="18"/>
        <v>21169.3</v>
      </c>
      <c r="P51" s="322">
        <f t="shared" si="19"/>
        <v>11</v>
      </c>
      <c r="R51" s="322"/>
      <c r="S51" s="322">
        <f t="shared" si="20"/>
        <v>63.923249999999996</v>
      </c>
    </row>
    <row r="52" spans="2:29" ht="34.5" customHeight="1">
      <c r="B52" s="996" t="s">
        <v>299</v>
      </c>
      <c r="C52" s="986"/>
      <c r="D52" s="986"/>
      <c r="E52" s="986"/>
      <c r="F52" s="986"/>
      <c r="G52" s="986"/>
      <c r="H52" s="997"/>
      <c r="L52" s="332">
        <f>'pred conserv percent - COMPAR'!$AF$49</f>
        <v>24532.2</v>
      </c>
      <c r="M52" s="322">
        <f>IF($C$6=Callouts!$N$2,'Input REFERENCE Rates'!$M$25,IF(L52&lt;=$F$24,0,VLOOKUP(L52,$C$39:$F$48,4)))</f>
        <v>2.5</v>
      </c>
      <c r="N52" s="311">
        <f t="shared" si="17"/>
        <v>2000</v>
      </c>
      <c r="O52" s="333">
        <f>L52-N52</f>
        <v>22532.2</v>
      </c>
      <c r="P52" s="322">
        <f t="shared" si="19"/>
        <v>11</v>
      </c>
      <c r="R52" s="322"/>
      <c r="S52" s="322">
        <f t="shared" si="20"/>
        <v>67.330500000000001</v>
      </c>
    </row>
    <row r="53" spans="2:29" ht="13.5" thickBot="1">
      <c r="B53" s="527"/>
      <c r="C53" s="235"/>
      <c r="D53" s="235"/>
      <c r="E53" s="235"/>
      <c r="F53" s="235"/>
      <c r="G53" s="235"/>
      <c r="H53" s="528"/>
      <c r="L53" s="332">
        <f>'pred conserv percent - COMPAR'!$AF$64</f>
        <v>21806.400000000001</v>
      </c>
      <c r="M53" s="322">
        <f>IF($C$6=Callouts!$N$2,'Input REFERENCE Rates'!$M$25,IF(L53&lt;=$F$24,0,VLOOKUP(L53,$C$39:$F$48,4)))</f>
        <v>2.5</v>
      </c>
      <c r="N53" s="311">
        <f>IF(L53&lt;=$F$24,0,VLOOKUP(L53,$C$39:$F$48,1)-1)</f>
        <v>2000</v>
      </c>
      <c r="O53" s="333">
        <f t="shared" si="18"/>
        <v>19806.400000000001</v>
      </c>
      <c r="P53" s="322">
        <f t="shared" si="19"/>
        <v>11</v>
      </c>
      <c r="R53" s="322"/>
      <c r="S53" s="322">
        <f t="shared" si="20"/>
        <v>60.515999999999998</v>
      </c>
    </row>
    <row r="54" spans="2:29" ht="57">
      <c r="B54" s="527"/>
      <c r="C54" s="282" t="s">
        <v>294</v>
      </c>
      <c r="D54" s="502" t="s">
        <v>295</v>
      </c>
      <c r="E54" s="598" t="s">
        <v>425</v>
      </c>
      <c r="F54" s="503" t="str">
        <f>IF($C$6=Callouts!$N$2,"Monthly Bill under REFERENCE rate structure","Actual Monthly Bill under COMPARATIVE rate structure")</f>
        <v>Actual Monthly Bill under COMPARATIVE rate structure</v>
      </c>
      <c r="G54" s="305" t="s">
        <v>303</v>
      </c>
      <c r="H54" s="528"/>
      <c r="L54" s="332">
        <f>'Normal Weather Change'!AE170</f>
        <v>20543</v>
      </c>
      <c r="M54" s="322">
        <f>IF($C$6=Callouts!$N$2,'Input REFERENCE Rates'!$M$25,IF(L54&lt;=$F$24,0,VLOOKUP(L54,$C$39:$F$48,4)))</f>
        <v>2.5</v>
      </c>
      <c r="N54" s="311">
        <f t="shared" si="17"/>
        <v>2000</v>
      </c>
      <c r="O54" s="333">
        <f t="shared" si="18"/>
        <v>18543</v>
      </c>
      <c r="P54" s="322">
        <f t="shared" si="19"/>
        <v>11</v>
      </c>
      <c r="R54" s="322"/>
      <c r="S54" s="322">
        <f t="shared" si="20"/>
        <v>57.357500000000002</v>
      </c>
    </row>
    <row r="55" spans="2:29" ht="14.25">
      <c r="B55" s="527"/>
      <c r="C55" s="599">
        <v>0</v>
      </c>
      <c r="D55" s="600">
        <f>S22</f>
        <v>8</v>
      </c>
      <c r="E55" s="601"/>
      <c r="F55" s="603">
        <f>IF($C$6=Callouts!$N$2,'Input REFERENCE Rates'!F57,IF(E55="",D55,E55))</f>
        <v>8</v>
      </c>
      <c r="G55" s="306">
        <f>$F$55/F55</f>
        <v>1</v>
      </c>
      <c r="H55" s="528"/>
      <c r="L55" s="332">
        <f>'Normal Weather Change'!AE258</f>
        <v>33973</v>
      </c>
      <c r="M55" s="322">
        <f>IF($C$6=Callouts!$N$2,'Input REFERENCE Rates'!$M$25,IF(L55&lt;=$F$24,0,VLOOKUP(L55,$C$39:$F$48,4)))</f>
        <v>2.5</v>
      </c>
      <c r="N55" s="311">
        <f t="shared" si="17"/>
        <v>2000</v>
      </c>
      <c r="O55" s="333">
        <f t="shared" si="18"/>
        <v>31973</v>
      </c>
      <c r="P55" s="322">
        <f t="shared" si="19"/>
        <v>11</v>
      </c>
      <c r="R55" s="322"/>
      <c r="S55" s="322">
        <f t="shared" si="20"/>
        <v>90.932500000000005</v>
      </c>
    </row>
    <row r="56" spans="2:29" ht="14.25">
      <c r="B56" s="527"/>
      <c r="C56" s="599">
        <v>1000</v>
      </c>
      <c r="D56" s="600">
        <f t="shared" ref="D56:D80" si="21">S23</f>
        <v>9.5</v>
      </c>
      <c r="E56" s="601"/>
      <c r="F56" s="603">
        <f>IF($C$6=Callouts!$N$2,'Input REFERENCE Rates'!F58,IF(E56="",D56,E56))</f>
        <v>9.5</v>
      </c>
      <c r="G56" s="306">
        <f t="shared" ref="G56:G80" si="22">$F$55/F56</f>
        <v>0.84210526315789469</v>
      </c>
      <c r="H56" s="528"/>
    </row>
    <row r="57" spans="2:29" ht="14.25">
      <c r="B57" s="527"/>
      <c r="C57" s="599">
        <v>2000</v>
      </c>
      <c r="D57" s="600">
        <f t="shared" si="21"/>
        <v>11</v>
      </c>
      <c r="E57" s="601"/>
      <c r="F57" s="603">
        <f>IF($C$6=Callouts!$N$2,'Input REFERENCE Rates'!F59,IF(E57="",D57,E57))</f>
        <v>11</v>
      </c>
      <c r="G57" s="306">
        <f t="shared" si="22"/>
        <v>0.72727272727272729</v>
      </c>
      <c r="H57" s="528"/>
    </row>
    <row r="58" spans="2:29" ht="14.25">
      <c r="B58" s="527"/>
      <c r="C58" s="599">
        <v>3000</v>
      </c>
      <c r="D58" s="600">
        <f t="shared" si="21"/>
        <v>13.5</v>
      </c>
      <c r="E58" s="601"/>
      <c r="F58" s="603">
        <f>IF($C$6=Callouts!$N$2,'Input REFERENCE Rates'!F60,IF(E58="",D58,E58))</f>
        <v>13.5</v>
      </c>
      <c r="G58" s="306">
        <f t="shared" si="22"/>
        <v>0.59259259259259256</v>
      </c>
      <c r="H58" s="528"/>
    </row>
    <row r="59" spans="2:29" ht="14.25">
      <c r="B59" s="527"/>
      <c r="C59" s="599">
        <v>4000</v>
      </c>
      <c r="D59" s="600">
        <f t="shared" si="21"/>
        <v>16</v>
      </c>
      <c r="E59" s="601"/>
      <c r="F59" s="603">
        <f>IF($C$6=Callouts!$N$2,'Input REFERENCE Rates'!F61,IF(E59="",D59,E59))</f>
        <v>16</v>
      </c>
      <c r="G59" s="306">
        <f t="shared" si="22"/>
        <v>0.5</v>
      </c>
      <c r="H59" s="528"/>
    </row>
    <row r="60" spans="2:29" ht="14.25">
      <c r="B60" s="527"/>
      <c r="C60" s="599">
        <v>5000</v>
      </c>
      <c r="D60" s="600">
        <f t="shared" si="21"/>
        <v>18.5</v>
      </c>
      <c r="E60" s="601"/>
      <c r="F60" s="603">
        <f>IF($C$6=Callouts!$N$2,'Input REFERENCE Rates'!F62,IF(E60="",D60,E60))</f>
        <v>18.5</v>
      </c>
      <c r="G60" s="306">
        <f t="shared" si="22"/>
        <v>0.43243243243243246</v>
      </c>
      <c r="H60" s="528"/>
    </row>
    <row r="61" spans="2:29" ht="14.25">
      <c r="B61" s="527"/>
      <c r="C61" s="599">
        <v>6000</v>
      </c>
      <c r="D61" s="600">
        <f t="shared" si="21"/>
        <v>21</v>
      </c>
      <c r="E61" s="601"/>
      <c r="F61" s="603">
        <f>IF($C$6=Callouts!$N$2,'Input REFERENCE Rates'!F63,IF(E61="",D61,E61))</f>
        <v>21</v>
      </c>
      <c r="G61" s="306">
        <f t="shared" si="22"/>
        <v>0.38095238095238093</v>
      </c>
      <c r="H61" s="528"/>
    </row>
    <row r="62" spans="2:29" ht="14.25">
      <c r="B62" s="527"/>
      <c r="C62" s="599">
        <v>7000</v>
      </c>
      <c r="D62" s="600">
        <f t="shared" si="21"/>
        <v>23.5</v>
      </c>
      <c r="E62" s="601"/>
      <c r="F62" s="603">
        <f>IF($C$6=Callouts!$N$2,'Input REFERENCE Rates'!F64,IF(E62="",D62,E62))</f>
        <v>23.5</v>
      </c>
      <c r="G62" s="306">
        <f t="shared" si="22"/>
        <v>0.34042553191489361</v>
      </c>
      <c r="H62" s="528"/>
    </row>
    <row r="63" spans="2:29" ht="14.25">
      <c r="B63" s="527"/>
      <c r="C63" s="599">
        <v>8000</v>
      </c>
      <c r="D63" s="600">
        <f t="shared" si="21"/>
        <v>26</v>
      </c>
      <c r="E63" s="601"/>
      <c r="F63" s="603">
        <f>IF($C$6=Callouts!$N$2,'Input REFERENCE Rates'!F65,IF(E63="",D63,E63))</f>
        <v>26</v>
      </c>
      <c r="G63" s="306">
        <f t="shared" si="22"/>
        <v>0.30769230769230771</v>
      </c>
      <c r="H63" s="528"/>
    </row>
    <row r="64" spans="2:29" ht="14.25">
      <c r="B64" s="527"/>
      <c r="C64" s="599">
        <v>9000</v>
      </c>
      <c r="D64" s="600">
        <f t="shared" si="21"/>
        <v>28.5</v>
      </c>
      <c r="E64" s="601"/>
      <c r="F64" s="603">
        <f>IF($C$6=Callouts!$N$2,'Input REFERENCE Rates'!F66,IF(E64="",D64,E64))</f>
        <v>28.5</v>
      </c>
      <c r="G64" s="306">
        <f t="shared" si="22"/>
        <v>0.2807017543859649</v>
      </c>
      <c r="H64" s="528"/>
    </row>
    <row r="65" spans="2:8" ht="14.25">
      <c r="B65" s="527"/>
      <c r="C65" s="599">
        <v>10000</v>
      </c>
      <c r="D65" s="600">
        <f t="shared" si="21"/>
        <v>31</v>
      </c>
      <c r="E65" s="601"/>
      <c r="F65" s="603">
        <f>IF($C$6=Callouts!$N$2,'Input REFERENCE Rates'!F67,IF(E65="",D65,E65))</f>
        <v>31</v>
      </c>
      <c r="G65" s="306">
        <f t="shared" si="22"/>
        <v>0.25806451612903225</v>
      </c>
      <c r="H65" s="528"/>
    </row>
    <row r="66" spans="2:8" ht="14.25">
      <c r="B66" s="527"/>
      <c r="C66" s="599">
        <v>11000</v>
      </c>
      <c r="D66" s="600">
        <f t="shared" si="21"/>
        <v>33.5</v>
      </c>
      <c r="E66" s="601"/>
      <c r="F66" s="603">
        <f>IF($C$6=Callouts!$N$2,'Input REFERENCE Rates'!F68,IF(E66="",D66,E66))</f>
        <v>33.5</v>
      </c>
      <c r="G66" s="306">
        <f t="shared" si="22"/>
        <v>0.23880597014925373</v>
      </c>
      <c r="H66" s="529"/>
    </row>
    <row r="67" spans="2:8" ht="14.25">
      <c r="B67" s="527"/>
      <c r="C67" s="599">
        <v>12000</v>
      </c>
      <c r="D67" s="600">
        <f t="shared" si="21"/>
        <v>36</v>
      </c>
      <c r="E67" s="601"/>
      <c r="F67" s="603">
        <f>IF($C$6=Callouts!$N$2,'Input REFERENCE Rates'!F69,IF(E67="",D67,E67))</f>
        <v>36</v>
      </c>
      <c r="G67" s="306">
        <f t="shared" si="22"/>
        <v>0.22222222222222221</v>
      </c>
      <c r="H67" s="529"/>
    </row>
    <row r="68" spans="2:8" ht="14.25">
      <c r="B68" s="527"/>
      <c r="C68" s="599">
        <v>13000</v>
      </c>
      <c r="D68" s="600">
        <f t="shared" si="21"/>
        <v>38.5</v>
      </c>
      <c r="E68" s="601"/>
      <c r="F68" s="603">
        <f>IF($C$6=Callouts!$N$2,'Input REFERENCE Rates'!F70,IF(E68="",D68,E68))</f>
        <v>38.5</v>
      </c>
      <c r="G68" s="306">
        <f t="shared" si="22"/>
        <v>0.20779220779220781</v>
      </c>
      <c r="H68" s="529"/>
    </row>
    <row r="69" spans="2:8" ht="14.25">
      <c r="B69" s="527"/>
      <c r="C69" s="599">
        <v>14000</v>
      </c>
      <c r="D69" s="600">
        <f t="shared" si="21"/>
        <v>41</v>
      </c>
      <c r="E69" s="601"/>
      <c r="F69" s="603">
        <f>IF($C$6=Callouts!$N$2,'Input REFERENCE Rates'!F71,IF(E69="",D69,E69))</f>
        <v>41</v>
      </c>
      <c r="G69" s="306">
        <f t="shared" si="22"/>
        <v>0.1951219512195122</v>
      </c>
      <c r="H69" s="529"/>
    </row>
    <row r="70" spans="2:8" ht="14.25">
      <c r="B70" s="527"/>
      <c r="C70" s="599">
        <v>15000</v>
      </c>
      <c r="D70" s="600">
        <f t="shared" si="21"/>
        <v>43.5</v>
      </c>
      <c r="E70" s="601"/>
      <c r="F70" s="603">
        <f>IF($C$6=Callouts!$N$2,'Input REFERENCE Rates'!F72,IF(E70="",D70,E70))</f>
        <v>43.5</v>
      </c>
      <c r="G70" s="306">
        <f t="shared" si="22"/>
        <v>0.18390804597701149</v>
      </c>
      <c r="H70" s="529"/>
    </row>
    <row r="71" spans="2:8" ht="14.25">
      <c r="B71" s="527"/>
      <c r="C71" s="599">
        <v>16000</v>
      </c>
      <c r="D71" s="600">
        <f t="shared" si="21"/>
        <v>46</v>
      </c>
      <c r="E71" s="601"/>
      <c r="F71" s="603">
        <f>IF($C$6=Callouts!$N$2,'Input REFERENCE Rates'!F73,IF(E71="",D71,E71))</f>
        <v>46</v>
      </c>
      <c r="G71" s="306">
        <f t="shared" si="22"/>
        <v>0.17391304347826086</v>
      </c>
      <c r="H71" s="529"/>
    </row>
    <row r="72" spans="2:8" ht="14.25">
      <c r="B72" s="527"/>
      <c r="C72" s="599">
        <v>17000</v>
      </c>
      <c r="D72" s="600">
        <f t="shared" si="21"/>
        <v>48.5</v>
      </c>
      <c r="E72" s="601"/>
      <c r="F72" s="603">
        <f>IF($C$6=Callouts!$N$2,'Input REFERENCE Rates'!F74,IF(E72="",D72,E72))</f>
        <v>48.5</v>
      </c>
      <c r="G72" s="306">
        <f t="shared" si="22"/>
        <v>0.16494845360824742</v>
      </c>
      <c r="H72" s="529"/>
    </row>
    <row r="73" spans="2:8" ht="14.25">
      <c r="B73" s="527"/>
      <c r="C73" s="599">
        <v>18000</v>
      </c>
      <c r="D73" s="600">
        <f t="shared" si="21"/>
        <v>51</v>
      </c>
      <c r="E73" s="601"/>
      <c r="F73" s="603">
        <f>IF($C$6=Callouts!$N$2,'Input REFERENCE Rates'!F75,IF(E73="",D73,E73))</f>
        <v>51</v>
      </c>
      <c r="G73" s="306">
        <f t="shared" si="22"/>
        <v>0.15686274509803921</v>
      </c>
      <c r="H73" s="529"/>
    </row>
    <row r="74" spans="2:8" ht="14.25">
      <c r="B74" s="527"/>
      <c r="C74" s="599">
        <v>19000</v>
      </c>
      <c r="D74" s="600">
        <f t="shared" si="21"/>
        <v>53.5</v>
      </c>
      <c r="E74" s="601"/>
      <c r="F74" s="603">
        <f>IF($C$6=Callouts!$N$2,'Input REFERENCE Rates'!F76,IF(E74="",D74,E74))</f>
        <v>53.5</v>
      </c>
      <c r="G74" s="306">
        <f t="shared" si="22"/>
        <v>0.14953271028037382</v>
      </c>
      <c r="H74" s="529"/>
    </row>
    <row r="75" spans="2:8" ht="14.25">
      <c r="B75" s="527"/>
      <c r="C75" s="599">
        <v>20000</v>
      </c>
      <c r="D75" s="600">
        <f t="shared" si="21"/>
        <v>56</v>
      </c>
      <c r="E75" s="601"/>
      <c r="F75" s="603">
        <f>IF($C$6=Callouts!$N$2,'Input REFERENCE Rates'!F77,IF(E75="",D75,E75))</f>
        <v>56</v>
      </c>
      <c r="G75" s="306">
        <f t="shared" si="22"/>
        <v>0.14285714285714285</v>
      </c>
      <c r="H75" s="529"/>
    </row>
    <row r="76" spans="2:8" ht="14.25">
      <c r="B76" s="527"/>
      <c r="C76" s="599">
        <v>21000</v>
      </c>
      <c r="D76" s="600">
        <f t="shared" si="21"/>
        <v>58.5</v>
      </c>
      <c r="E76" s="601"/>
      <c r="F76" s="603">
        <f>IF($C$6=Callouts!$N$2,'Input REFERENCE Rates'!F78,IF(E76="",D76,E76))</f>
        <v>58.5</v>
      </c>
      <c r="G76" s="306">
        <f t="shared" si="22"/>
        <v>0.13675213675213677</v>
      </c>
      <c r="H76" s="529"/>
    </row>
    <row r="77" spans="2:8" ht="14.25">
      <c r="B77" s="527"/>
      <c r="C77" s="599">
        <v>22000</v>
      </c>
      <c r="D77" s="600">
        <f t="shared" si="21"/>
        <v>61</v>
      </c>
      <c r="E77" s="601"/>
      <c r="F77" s="603">
        <f>IF($C$6=Callouts!$N$2,'Input REFERENCE Rates'!F79,IF(E77="",D77,E77))</f>
        <v>61</v>
      </c>
      <c r="G77" s="306">
        <f t="shared" si="22"/>
        <v>0.13114754098360656</v>
      </c>
      <c r="H77" s="529"/>
    </row>
    <row r="78" spans="2:8" ht="14.25">
      <c r="B78" s="527"/>
      <c r="C78" s="599">
        <v>23000</v>
      </c>
      <c r="D78" s="600">
        <f t="shared" si="21"/>
        <v>63.5</v>
      </c>
      <c r="E78" s="601"/>
      <c r="F78" s="603">
        <f>IF($C$6=Callouts!$N$2,'Input REFERENCE Rates'!F80,IF(E78="",D78,E78))</f>
        <v>63.5</v>
      </c>
      <c r="G78" s="306">
        <f t="shared" si="22"/>
        <v>0.12598425196850394</v>
      </c>
      <c r="H78" s="529"/>
    </row>
    <row r="79" spans="2:8" ht="14.25">
      <c r="B79" s="530"/>
      <c r="C79" s="599">
        <v>24000</v>
      </c>
      <c r="D79" s="600">
        <f t="shared" si="21"/>
        <v>66</v>
      </c>
      <c r="E79" s="601"/>
      <c r="F79" s="603">
        <f>IF($C$6=Callouts!$N$2,'Input REFERENCE Rates'!F81,IF(E79="",D79,E79))</f>
        <v>66</v>
      </c>
      <c r="G79" s="306">
        <f t="shared" si="22"/>
        <v>0.12121212121212122</v>
      </c>
      <c r="H79" s="529"/>
    </row>
    <row r="80" spans="2:8" ht="15" thickBot="1">
      <c r="B80" s="530"/>
      <c r="C80" s="604">
        <v>25000</v>
      </c>
      <c r="D80" s="605">
        <f t="shared" si="21"/>
        <v>68.5</v>
      </c>
      <c r="E80" s="606"/>
      <c r="F80" s="607">
        <f>IF($C$6=Callouts!$N$2,'Input REFERENCE Rates'!F82,IF(E80="",D80,E80))</f>
        <v>68.5</v>
      </c>
      <c r="G80" s="306">
        <f t="shared" si="22"/>
        <v>0.11678832116788321</v>
      </c>
      <c r="H80" s="529"/>
    </row>
    <row r="81" spans="2:8" ht="13.5" thickBot="1">
      <c r="B81" s="531"/>
      <c r="C81" s="532"/>
      <c r="D81" s="532"/>
      <c r="E81" s="532"/>
      <c r="F81" s="532"/>
      <c r="G81" s="532"/>
      <c r="H81" s="533"/>
    </row>
    <row r="82" spans="2:8">
      <c r="B82" s="230"/>
      <c r="C82" s="230"/>
      <c r="D82" s="230"/>
      <c r="E82" s="230"/>
      <c r="F82" s="230"/>
      <c r="G82" s="230"/>
      <c r="H82" s="230"/>
    </row>
    <row r="83" spans="2:8">
      <c r="B83" s="230"/>
      <c r="C83" s="230"/>
      <c r="D83" s="230"/>
      <c r="E83" s="230"/>
      <c r="F83" s="230"/>
      <c r="G83" s="230"/>
      <c r="H83" s="230"/>
    </row>
    <row r="84" spans="2:8">
      <c r="B84" s="230"/>
      <c r="C84" s="230"/>
      <c r="D84" s="230"/>
      <c r="E84" s="230"/>
      <c r="F84" s="230"/>
      <c r="G84" s="230"/>
      <c r="H84" s="230"/>
    </row>
    <row r="85" spans="2:8">
      <c r="B85" s="230"/>
      <c r="C85" s="230"/>
      <c r="D85" s="230"/>
      <c r="E85" s="230"/>
      <c r="F85" s="230"/>
      <c r="G85" s="230"/>
      <c r="H85" s="230"/>
    </row>
    <row r="86" spans="2:8">
      <c r="B86" s="230"/>
      <c r="C86" s="230"/>
      <c r="D86" s="230"/>
      <c r="E86" s="230"/>
      <c r="F86" s="230"/>
      <c r="G86" s="230"/>
      <c r="H86" s="230"/>
    </row>
    <row r="87" spans="2:8">
      <c r="B87" s="230"/>
      <c r="C87" s="230"/>
      <c r="D87" s="230"/>
      <c r="E87" s="230"/>
      <c r="F87" s="230"/>
      <c r="G87" s="230"/>
      <c r="H87" s="230"/>
    </row>
    <row r="88" spans="2:8">
      <c r="B88" s="230"/>
      <c r="C88" s="230"/>
      <c r="D88" s="230"/>
      <c r="E88" s="230"/>
      <c r="F88" s="230"/>
      <c r="G88" s="230"/>
      <c r="H88" s="230"/>
    </row>
    <row r="89" spans="2:8">
      <c r="B89" s="230"/>
      <c r="C89" s="230"/>
      <c r="D89" s="230"/>
      <c r="E89" s="230"/>
      <c r="F89" s="230"/>
      <c r="G89" s="230"/>
      <c r="H89" s="230"/>
    </row>
    <row r="90" spans="2:8">
      <c r="B90" s="230"/>
      <c r="C90" s="230"/>
      <c r="D90" s="230"/>
      <c r="E90" s="230"/>
      <c r="F90" s="230"/>
      <c r="G90" s="230"/>
      <c r="H90" s="230"/>
    </row>
    <row r="91" spans="2:8">
      <c r="B91" s="230"/>
      <c r="C91" s="230"/>
      <c r="D91" s="230"/>
      <c r="E91" s="230"/>
      <c r="F91" s="230"/>
      <c r="G91" s="230"/>
      <c r="H91" s="230"/>
    </row>
    <row r="92" spans="2:8">
      <c r="B92" s="230"/>
      <c r="C92" s="230"/>
      <c r="D92" s="230"/>
      <c r="E92" s="230"/>
      <c r="F92" s="230"/>
      <c r="G92" s="230"/>
      <c r="H92" s="230"/>
    </row>
    <row r="93" spans="2:8">
      <c r="B93" s="230"/>
      <c r="C93" s="230"/>
      <c r="D93" s="230"/>
      <c r="E93" s="230"/>
      <c r="F93" s="230"/>
      <c r="G93" s="230"/>
      <c r="H93" s="230"/>
    </row>
    <row r="94" spans="2:8">
      <c r="B94" s="230"/>
      <c r="C94" s="230"/>
      <c r="D94" s="230"/>
      <c r="E94" s="230"/>
      <c r="F94" s="230"/>
      <c r="G94" s="230"/>
      <c r="H94" s="230"/>
    </row>
    <row r="95" spans="2:8">
      <c r="B95" s="230"/>
      <c r="C95" s="230"/>
      <c r="D95" s="230"/>
      <c r="E95" s="230"/>
      <c r="F95" s="230"/>
      <c r="G95" s="230"/>
      <c r="H95" s="230"/>
    </row>
    <row r="96" spans="2:8">
      <c r="B96" s="230"/>
      <c r="C96" s="230"/>
      <c r="D96" s="230"/>
      <c r="E96" s="230"/>
      <c r="F96" s="230"/>
      <c r="G96" s="230"/>
      <c r="H96" s="230"/>
    </row>
    <row r="97" spans="2:8">
      <c r="B97" s="230"/>
      <c r="C97" s="230"/>
      <c r="D97" s="230"/>
      <c r="E97" s="230"/>
      <c r="F97" s="230"/>
      <c r="G97" s="230"/>
      <c r="H97" s="230"/>
    </row>
    <row r="98" spans="2:8">
      <c r="B98" s="230"/>
      <c r="C98" s="230"/>
      <c r="D98" s="230"/>
      <c r="E98" s="230"/>
      <c r="F98" s="230"/>
      <c r="G98" s="230"/>
      <c r="H98" s="230"/>
    </row>
    <row r="99" spans="2:8">
      <c r="B99" s="230"/>
      <c r="C99" s="230"/>
      <c r="D99" s="230"/>
      <c r="E99" s="230"/>
      <c r="F99" s="230"/>
      <c r="G99" s="230"/>
      <c r="H99" s="230"/>
    </row>
    <row r="100" spans="2:8">
      <c r="B100" s="230"/>
      <c r="C100" s="230"/>
      <c r="D100" s="230"/>
      <c r="E100" s="230"/>
      <c r="F100" s="230"/>
      <c r="G100" s="230"/>
      <c r="H100" s="230"/>
    </row>
    <row r="101" spans="2:8">
      <c r="B101" s="230"/>
      <c r="C101" s="230"/>
      <c r="D101" s="230"/>
      <c r="E101" s="230"/>
      <c r="F101" s="230"/>
      <c r="G101" s="230"/>
      <c r="H101" s="230"/>
    </row>
    <row r="102" spans="2:8">
      <c r="B102" s="230"/>
      <c r="C102" s="230"/>
      <c r="D102" s="230"/>
      <c r="E102" s="230"/>
      <c r="F102" s="230"/>
      <c r="G102" s="230"/>
      <c r="H102" s="230"/>
    </row>
    <row r="103" spans="2:8">
      <c r="B103" s="230"/>
      <c r="C103" s="230"/>
      <c r="D103" s="230"/>
      <c r="E103" s="230"/>
      <c r="F103" s="230"/>
      <c r="G103" s="230"/>
      <c r="H103" s="230"/>
    </row>
    <row r="104" spans="2:8">
      <c r="B104" s="230"/>
      <c r="C104" s="230"/>
      <c r="D104" s="230"/>
      <c r="E104" s="230"/>
      <c r="F104" s="230"/>
      <c r="G104" s="230"/>
      <c r="H104" s="230"/>
    </row>
    <row r="105" spans="2:8">
      <c r="B105" s="230"/>
      <c r="C105" s="230"/>
      <c r="D105" s="230"/>
      <c r="E105" s="230"/>
      <c r="F105" s="230"/>
      <c r="G105" s="230"/>
      <c r="H105" s="230"/>
    </row>
    <row r="106" spans="2:8">
      <c r="B106" s="230"/>
      <c r="C106" s="230"/>
      <c r="D106" s="230"/>
      <c r="E106" s="230"/>
      <c r="F106" s="230"/>
      <c r="G106" s="230"/>
      <c r="H106" s="230"/>
    </row>
    <row r="107" spans="2:8">
      <c r="B107" s="230"/>
      <c r="C107" s="230"/>
      <c r="D107" s="230"/>
      <c r="E107" s="230"/>
      <c r="F107" s="230"/>
      <c r="G107" s="230"/>
      <c r="H107" s="230"/>
    </row>
    <row r="108" spans="2:8">
      <c r="B108" s="230"/>
      <c r="C108" s="230"/>
      <c r="D108" s="230"/>
      <c r="E108" s="230"/>
      <c r="F108" s="230"/>
      <c r="G108" s="230"/>
      <c r="H108" s="230"/>
    </row>
    <row r="109" spans="2:8">
      <c r="B109" s="230"/>
      <c r="C109" s="230"/>
      <c r="D109" s="230"/>
      <c r="E109" s="230"/>
      <c r="F109" s="230"/>
      <c r="G109" s="230"/>
      <c r="H109" s="230"/>
    </row>
    <row r="110" spans="2:8">
      <c r="B110" s="230"/>
      <c r="C110" s="230"/>
      <c r="D110" s="230"/>
      <c r="E110" s="230"/>
      <c r="F110" s="230"/>
      <c r="G110" s="230"/>
      <c r="H110" s="230"/>
    </row>
    <row r="111" spans="2:8">
      <c r="B111" s="230"/>
      <c r="C111" s="230"/>
      <c r="D111" s="230"/>
      <c r="E111" s="230"/>
      <c r="F111" s="230"/>
      <c r="G111" s="230"/>
      <c r="H111" s="230"/>
    </row>
    <row r="112" spans="2:8">
      <c r="B112" s="230"/>
      <c r="C112" s="230"/>
      <c r="D112" s="230"/>
      <c r="E112" s="230"/>
      <c r="F112" s="230"/>
      <c r="G112" s="230"/>
      <c r="H112" s="230"/>
    </row>
    <row r="113" spans="2:8">
      <c r="B113" s="984"/>
      <c r="C113" s="984"/>
      <c r="D113" s="984"/>
      <c r="E113" s="984"/>
      <c r="F113" s="984"/>
      <c r="G113" s="984"/>
      <c r="H113" s="984"/>
    </row>
  </sheetData>
  <sheetProtection password="EB90" sheet="1" objects="1" scenarios="1"/>
  <dataConsolidate/>
  <mergeCells count="10">
    <mergeCell ref="B52:H52"/>
    <mergeCell ref="B113:H113"/>
    <mergeCell ref="B2:H2"/>
    <mergeCell ref="B1:H1"/>
    <mergeCell ref="B5:H5"/>
    <mergeCell ref="B19:H19"/>
    <mergeCell ref="F38:G38"/>
    <mergeCell ref="C6:E6"/>
    <mergeCell ref="B37:C37"/>
    <mergeCell ref="F6:H6"/>
  </mergeCells>
  <dataValidations count="4">
    <dataValidation showErrorMessage="1" errorTitle="Please select from list" sqref="C9:C11"/>
    <dataValidation showErrorMessage="1" errorTitle="Please select from the list" sqref="C8"/>
    <dataValidation allowBlank="1" sqref="C7:E7"/>
    <dataValidation type="decimal" operator="greaterThanOrEqual" allowBlank="1" showErrorMessage="1" error="Please input a number greater than the end of the previous block." sqref="D40:D47">
      <formula1>C40</formula1>
    </dataValidation>
  </dataValidations>
  <pageMargins left="0.52" right="0.75" top="1.89" bottom="1" header="0.5" footer="0.5"/>
  <pageSetup scale="110" orientation="portrait" horizontalDpi="4294967293" r:id="rId1"/>
  <headerFooter alignWithMargins="0">
    <oddHeader xml:space="preserve">&amp;C&amp;"Arial,Bold"Water and Sewer Rate Analysis&amp;REnvironmental Finance Center&amp;12
&amp;10University of North Carolina
</oddHeader>
    <oddFooter xml:space="preserve">&amp;LElmar D. Kapfer
</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 id="{E78E59E1-B11C-445C-8399-A8AAABE9A2CA}">
            <xm:f>$C$6=Callouts!$N$2</xm:f>
            <x14:dxf>
              <fill>
                <patternFill>
                  <bgColor theme="1"/>
                </patternFill>
              </fill>
            </x14:dxf>
          </x14:cfRule>
          <xm:sqref>D54:E80</xm:sqref>
        </x14:conditionalFormatting>
        <x14:conditionalFormatting xmlns:xm="http://schemas.microsoft.com/office/excel/2006/main">
          <x14:cfRule type="expression" priority="3" id="{B9297258-37A0-4417-AB99-4B2BB0D456D0}">
            <xm:f>$C$6=Callouts!$N$2</xm:f>
            <x14:dxf>
              <fill>
                <patternFill>
                  <bgColor theme="1"/>
                </patternFill>
              </fill>
            </x14:dxf>
          </x14:cfRule>
          <xm:sqref>B38:G48</xm:sqref>
        </x14:conditionalFormatting>
        <x14:conditionalFormatting xmlns:xm="http://schemas.microsoft.com/office/excel/2006/main">
          <x14:cfRule type="expression" priority="2" id="{AD31A175-2D80-481F-9343-DB57D0DE53C8}">
            <xm:f>$C$6=Callouts!$N$2</xm:f>
            <x14:dxf>
              <fill>
                <patternFill>
                  <bgColor theme="1"/>
                </patternFill>
              </fill>
            </x14:dxf>
          </x14:cfRule>
          <xm:sqref>C23:G34</xm:sqref>
        </x14:conditionalFormatting>
        <x14:conditionalFormatting xmlns:xm="http://schemas.microsoft.com/office/excel/2006/main">
          <x14:cfRule type="expression" priority="1" id="{FE0BCB1F-563E-4E3F-B3C2-C1F30ADD695B}">
            <xm:f>$C$6=Callouts!$N$2</xm:f>
            <x14:dxf>
              <font>
                <color theme="1"/>
              </font>
              <fill>
                <patternFill>
                  <bgColor theme="1"/>
                </patternFill>
              </fill>
            </x14:dxf>
          </x14:cfRule>
          <xm:sqref>E54</xm:sqref>
        </x14:conditionalFormatting>
      </x14:conditionalFormattings>
    </ext>
    <ext xmlns:x14="http://schemas.microsoft.com/office/spreadsheetml/2009/9/main" uri="{CCE6A557-97BC-4b89-ADB6-D9C93CAAB3DF}">
      <x14:dataValidations xmlns:xm="http://schemas.microsoft.com/office/excel/2006/main" count="1">
        <x14:dataValidation type="list" showInputMessage="1" showErrorMessage="1" error="Please make your selection from the dropdown list." prompt="Select one of the two options in the dropdown list.">
          <x14:formula1>
            <xm:f>Callouts!$N$1:$N$2</xm:f>
          </x14:formula1>
          <xm:sqref>C6:E6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B1:BK574"/>
  <sheetViews>
    <sheetView zoomScaleNormal="100" zoomScalePageLayoutView="90" workbookViewId="0">
      <pane ySplit="2" topLeftCell="A3" activePane="bottomLeft" state="frozen"/>
      <selection pane="bottomLeft" activeCell="A3" sqref="A3"/>
    </sheetView>
  </sheetViews>
  <sheetFormatPr defaultColWidth="9.140625" defaultRowHeight="12.75"/>
  <cols>
    <col min="1" max="1" width="14.7109375" style="118" customWidth="1"/>
    <col min="2" max="2" width="59.28515625" style="118" customWidth="1"/>
    <col min="3" max="6" width="14.85546875" style="118" customWidth="1"/>
    <col min="7" max="8" width="14.85546875" style="125" customWidth="1"/>
    <col min="9" max="29" width="14.85546875" style="118" customWidth="1"/>
    <col min="30" max="31" width="14.28515625" style="118" customWidth="1"/>
    <col min="32" max="37" width="14.140625" style="118" customWidth="1"/>
    <col min="38" max="43" width="9.140625" style="118"/>
    <col min="44" max="46" width="11.140625" style="118" bestFit="1" customWidth="1"/>
    <col min="47" max="49" width="12.140625" style="118" bestFit="1" customWidth="1"/>
    <col min="50" max="16384" width="9.140625" style="118"/>
  </cols>
  <sheetData>
    <row r="1" spans="2:36" s="230" customFormat="1" ht="36.75" customHeight="1">
      <c r="B1" s="1021" t="s">
        <v>377</v>
      </c>
      <c r="C1" s="1021"/>
      <c r="D1" s="1021"/>
      <c r="E1" s="1021"/>
      <c r="F1" s="1021"/>
      <c r="G1" s="1021"/>
      <c r="H1" s="1021"/>
      <c r="J1" s="228"/>
      <c r="K1" s="228"/>
      <c r="L1" s="229"/>
      <c r="M1" s="229"/>
      <c r="N1" s="229"/>
      <c r="O1" s="229"/>
      <c r="P1" s="229"/>
      <c r="Q1" s="229"/>
      <c r="R1" s="229"/>
      <c r="S1" s="229"/>
      <c r="T1" s="229"/>
      <c r="U1" s="229"/>
      <c r="V1" s="229"/>
      <c r="W1" s="229"/>
      <c r="X1" s="229"/>
      <c r="Y1" s="229"/>
      <c r="Z1" s="229"/>
      <c r="AA1" s="229"/>
      <c r="AB1" s="229"/>
      <c r="AC1" s="229"/>
    </row>
    <row r="2" spans="2:36" s="312" customFormat="1" ht="36.75" customHeight="1">
      <c r="B2" s="998" t="s">
        <v>395</v>
      </c>
      <c r="C2" s="998"/>
      <c r="D2" s="998"/>
      <c r="E2" s="998"/>
      <c r="F2" s="998"/>
      <c r="G2" s="998"/>
      <c r="H2" s="998"/>
      <c r="J2" s="310"/>
      <c r="K2" s="311"/>
      <c r="L2" s="311"/>
      <c r="M2" s="311"/>
      <c r="N2" s="311"/>
      <c r="O2" s="311"/>
      <c r="P2" s="311"/>
      <c r="Q2" s="311"/>
      <c r="R2" s="311"/>
      <c r="S2" s="311"/>
      <c r="T2" s="311"/>
      <c r="U2" s="311"/>
      <c r="V2" s="311"/>
      <c r="W2" s="311"/>
      <c r="X2" s="311"/>
      <c r="Y2" s="311"/>
      <c r="Z2" s="311"/>
      <c r="AA2" s="311"/>
      <c r="AB2" s="311"/>
      <c r="AC2" s="311"/>
    </row>
    <row r="3" spans="2:36" s="312" customFormat="1" ht="13.5" customHeight="1" thickBot="1">
      <c r="B3" s="596"/>
      <c r="C3" s="596"/>
      <c r="D3" s="596"/>
      <c r="E3" s="596"/>
      <c r="F3" s="596"/>
      <c r="G3" s="596"/>
      <c r="H3" s="596"/>
      <c r="J3" s="310"/>
      <c r="K3" s="311"/>
      <c r="L3" s="311"/>
      <c r="M3" s="311"/>
      <c r="N3" s="311"/>
      <c r="O3" s="311"/>
      <c r="P3" s="311"/>
      <c r="Q3" s="311"/>
      <c r="R3" s="311"/>
      <c r="S3" s="311"/>
      <c r="T3" s="311"/>
      <c r="U3" s="311"/>
      <c r="V3" s="311"/>
      <c r="W3" s="311"/>
      <c r="X3" s="311"/>
      <c r="Y3" s="311"/>
      <c r="Z3" s="311"/>
      <c r="AA3" s="311"/>
      <c r="AB3" s="311"/>
      <c r="AC3" s="311"/>
    </row>
    <row r="4" spans="2:36" ht="36" customHeight="1" thickBot="1">
      <c r="B4" s="1022" t="s">
        <v>427</v>
      </c>
      <c r="C4" s="1023"/>
      <c r="D4" s="1023"/>
      <c r="E4" s="1023"/>
      <c r="F4" s="1023"/>
      <c r="G4" s="1023"/>
      <c r="H4" s="1024"/>
    </row>
    <row r="5" spans="2:36" ht="13.5" thickBot="1">
      <c r="B5" s="336"/>
    </row>
    <row r="6" spans="2:36" ht="27" customHeight="1">
      <c r="B6" s="1025" t="s">
        <v>429</v>
      </c>
      <c r="C6" s="1026"/>
      <c r="D6" s="1026"/>
      <c r="E6" s="1026"/>
      <c r="F6" s="1026"/>
      <c r="G6" s="1026"/>
      <c r="H6" s="1027"/>
    </row>
    <row r="7" spans="2:36" ht="34.5" customHeight="1">
      <c r="B7" s="985" t="s">
        <v>430</v>
      </c>
      <c r="C7" s="986"/>
      <c r="D7" s="986"/>
      <c r="E7" s="986"/>
      <c r="F7" s="986"/>
      <c r="G7" s="986"/>
      <c r="H7" s="987"/>
      <c r="I7" s="337"/>
      <c r="J7" s="337"/>
      <c r="K7" s="337"/>
      <c r="L7" s="337"/>
      <c r="M7" s="337"/>
      <c r="N7" s="337"/>
      <c r="O7" s="337"/>
      <c r="P7" s="337"/>
      <c r="Q7" s="337"/>
      <c r="R7" s="337"/>
      <c r="S7" s="337"/>
      <c r="T7" s="337"/>
      <c r="U7" s="337"/>
      <c r="V7" s="337"/>
      <c r="W7" s="337"/>
      <c r="X7" s="337"/>
      <c r="Y7" s="337"/>
      <c r="Z7" s="337"/>
      <c r="AA7" s="337"/>
      <c r="AB7" s="337"/>
      <c r="AC7" s="337"/>
    </row>
    <row r="8" spans="2:36" s="340" customFormat="1">
      <c r="B8" s="534" t="s">
        <v>4</v>
      </c>
      <c r="C8" s="535">
        <v>0</v>
      </c>
      <c r="D8" s="536">
        <v>1000</v>
      </c>
      <c r="E8" s="536">
        <v>2000</v>
      </c>
      <c r="F8" s="536">
        <v>3000</v>
      </c>
      <c r="G8" s="536">
        <v>4000</v>
      </c>
      <c r="H8" s="537">
        <v>5000</v>
      </c>
      <c r="I8" s="338">
        <v>6000</v>
      </c>
      <c r="J8" s="338">
        <v>7000</v>
      </c>
      <c r="K8" s="338">
        <v>8000</v>
      </c>
      <c r="L8" s="338">
        <v>9000</v>
      </c>
      <c r="M8" s="338">
        <v>10000</v>
      </c>
      <c r="N8" s="338">
        <v>11000</v>
      </c>
      <c r="O8" s="338">
        <v>12000</v>
      </c>
      <c r="P8" s="338">
        <v>13000</v>
      </c>
      <c r="Q8" s="338">
        <v>14000</v>
      </c>
      <c r="R8" s="338">
        <v>15000</v>
      </c>
      <c r="S8" s="338">
        <v>16000</v>
      </c>
      <c r="T8" s="338">
        <v>17000</v>
      </c>
      <c r="U8" s="338">
        <v>18000</v>
      </c>
      <c r="V8" s="338">
        <v>19000</v>
      </c>
      <c r="W8" s="338">
        <v>20000</v>
      </c>
      <c r="X8" s="338">
        <v>21000</v>
      </c>
      <c r="Y8" s="338">
        <v>22000</v>
      </c>
      <c r="Z8" s="338">
        <v>23000</v>
      </c>
      <c r="AA8" s="338">
        <v>24000</v>
      </c>
      <c r="AB8" s="338">
        <v>25000</v>
      </c>
      <c r="AC8" s="339"/>
    </row>
    <row r="9" spans="2:36" s="347" customFormat="1" ht="21.75" customHeight="1">
      <c r="B9" s="640" t="s">
        <v>365</v>
      </c>
      <c r="C9" s="641"/>
      <c r="D9" s="641"/>
      <c r="E9" s="685">
        <v>864402</v>
      </c>
      <c r="F9" s="642"/>
      <c r="G9" s="643"/>
      <c r="H9" s="644"/>
      <c r="J9" s="645"/>
      <c r="K9" s="645"/>
      <c r="M9" s="645"/>
      <c r="N9" s="645"/>
      <c r="P9" s="645"/>
      <c r="Q9" s="645"/>
      <c r="S9" s="645"/>
    </row>
    <row r="10" spans="2:36">
      <c r="B10" s="345"/>
      <c r="C10" s="341"/>
      <c r="D10" s="341"/>
      <c r="E10" s="342"/>
      <c r="F10" s="342"/>
      <c r="G10" s="343"/>
      <c r="H10" s="344"/>
      <c r="J10" s="125"/>
      <c r="K10" s="125"/>
      <c r="M10" s="125"/>
      <c r="N10" s="125"/>
      <c r="P10" s="125"/>
      <c r="Q10" s="125"/>
      <c r="S10" s="125"/>
    </row>
    <row r="11" spans="2:36" ht="15.75" thickBot="1">
      <c r="B11" s="1028" t="s">
        <v>366</v>
      </c>
      <c r="C11" s="1029"/>
      <c r="D11" s="1029"/>
      <c r="E11" s="1029"/>
      <c r="F11" s="1029"/>
      <c r="G11" s="1029"/>
      <c r="H11" s="1030"/>
      <c r="J11" s="125"/>
      <c r="K11" s="125"/>
      <c r="M11" s="125"/>
      <c r="N11" s="125"/>
      <c r="P11" s="125"/>
      <c r="Q11" s="125"/>
      <c r="S11" s="125"/>
    </row>
    <row r="12" spans="2:36" s="347" customFormat="1" ht="24.75" customHeight="1">
      <c r="B12" s="647" t="s">
        <v>301</v>
      </c>
      <c r="C12" s="651">
        <f>C8</f>
        <v>0</v>
      </c>
      <c r="D12" s="652" t="str">
        <f t="shared" ref="D12:AB12" si="0">C8+1&amp;" - "&amp;D8</f>
        <v>1 - 1000</v>
      </c>
      <c r="E12" s="652" t="str">
        <f t="shared" si="0"/>
        <v>1001 - 2000</v>
      </c>
      <c r="F12" s="652" t="str">
        <f t="shared" si="0"/>
        <v>2001 - 3000</v>
      </c>
      <c r="G12" s="652" t="str">
        <f t="shared" si="0"/>
        <v>3001 - 4000</v>
      </c>
      <c r="H12" s="652" t="str">
        <f t="shared" si="0"/>
        <v>4001 - 5000</v>
      </c>
      <c r="I12" s="652" t="str">
        <f t="shared" si="0"/>
        <v>5001 - 6000</v>
      </c>
      <c r="J12" s="652" t="str">
        <f t="shared" si="0"/>
        <v>6001 - 7000</v>
      </c>
      <c r="K12" s="652" t="str">
        <f t="shared" si="0"/>
        <v>7001 - 8000</v>
      </c>
      <c r="L12" s="652" t="str">
        <f t="shared" si="0"/>
        <v>8001 - 9000</v>
      </c>
      <c r="M12" s="652" t="str">
        <f t="shared" si="0"/>
        <v>9001 - 10000</v>
      </c>
      <c r="N12" s="652" t="str">
        <f t="shared" si="0"/>
        <v>10001 - 11000</v>
      </c>
      <c r="O12" s="652" t="str">
        <f t="shared" si="0"/>
        <v>11001 - 12000</v>
      </c>
      <c r="P12" s="652" t="str">
        <f t="shared" si="0"/>
        <v>12001 - 13000</v>
      </c>
      <c r="Q12" s="652" t="str">
        <f t="shared" si="0"/>
        <v>13001 - 14000</v>
      </c>
      <c r="R12" s="652" t="str">
        <f t="shared" si="0"/>
        <v>14001 - 15000</v>
      </c>
      <c r="S12" s="652" t="str">
        <f t="shared" si="0"/>
        <v>15001 - 16000</v>
      </c>
      <c r="T12" s="652" t="str">
        <f t="shared" si="0"/>
        <v>16001 - 17000</v>
      </c>
      <c r="U12" s="652" t="str">
        <f t="shared" si="0"/>
        <v>17001 - 18000</v>
      </c>
      <c r="V12" s="652" t="str">
        <f t="shared" si="0"/>
        <v>18001 - 19000</v>
      </c>
      <c r="W12" s="652" t="str">
        <f t="shared" si="0"/>
        <v>19001 - 20000</v>
      </c>
      <c r="X12" s="652" t="str">
        <f t="shared" si="0"/>
        <v>20001 - 21000</v>
      </c>
      <c r="Y12" s="652" t="str">
        <f t="shared" si="0"/>
        <v>21001 - 22000</v>
      </c>
      <c r="Z12" s="652" t="str">
        <f t="shared" si="0"/>
        <v>22001 - 23000</v>
      </c>
      <c r="AA12" s="652" t="str">
        <f t="shared" si="0"/>
        <v>23001 - 24000</v>
      </c>
      <c r="AB12" s="652" t="str">
        <f t="shared" si="0"/>
        <v>24001 - 25000</v>
      </c>
      <c r="AC12" s="653" t="s">
        <v>38</v>
      </c>
    </row>
    <row r="13" spans="2:36" ht="15" customHeight="1">
      <c r="B13" s="431" t="s">
        <v>431</v>
      </c>
      <c r="C13" s="646">
        <v>67031</v>
      </c>
      <c r="D13" s="646">
        <v>83054</v>
      </c>
      <c r="E13" s="646">
        <v>118438</v>
      </c>
      <c r="F13" s="646">
        <v>120115</v>
      </c>
      <c r="G13" s="646">
        <v>113142</v>
      </c>
      <c r="H13" s="646">
        <v>86693</v>
      </c>
      <c r="I13" s="646">
        <v>68013</v>
      </c>
      <c r="J13" s="646">
        <v>45087</v>
      </c>
      <c r="K13" s="646">
        <v>35919</v>
      </c>
      <c r="L13" s="646">
        <v>22345</v>
      </c>
      <c r="M13" s="646">
        <v>19870</v>
      </c>
      <c r="N13" s="646">
        <v>11813</v>
      </c>
      <c r="O13" s="646">
        <v>11811</v>
      </c>
      <c r="P13" s="646">
        <v>7075</v>
      </c>
      <c r="Q13" s="646">
        <v>7533</v>
      </c>
      <c r="R13" s="646">
        <v>4641</v>
      </c>
      <c r="S13" s="646">
        <v>5223</v>
      </c>
      <c r="T13" s="646">
        <v>3328</v>
      </c>
      <c r="U13" s="646">
        <v>3865</v>
      </c>
      <c r="V13" s="646">
        <v>2460</v>
      </c>
      <c r="W13" s="646">
        <v>2956</v>
      </c>
      <c r="X13" s="646">
        <v>2754</v>
      </c>
      <c r="Y13" s="646">
        <v>2653</v>
      </c>
      <c r="Z13" s="646">
        <v>2521</v>
      </c>
      <c r="AA13" s="646">
        <v>2321</v>
      </c>
      <c r="AB13" s="646">
        <v>1987</v>
      </c>
      <c r="AC13" s="655">
        <f>$E$9-SUM(C13:AB13)</f>
        <v>11754</v>
      </c>
      <c r="AD13" s="1016" t="str">
        <f>IF(AC13&gt;=0,"","ERROR: the sum of number of residential bills from 0 up to 25,000 gallons/month should be LESS THAN the total number of residential bills during the year.")</f>
        <v/>
      </c>
      <c r="AE13" s="1017"/>
      <c r="AF13" s="1017"/>
      <c r="AG13" s="1017"/>
      <c r="AH13" s="1017"/>
      <c r="AI13" s="1017"/>
      <c r="AJ13" s="1017"/>
    </row>
    <row r="14" spans="2:36" ht="20.25" customHeight="1" thickBot="1">
      <c r="B14" s="648" t="s">
        <v>302</v>
      </c>
      <c r="C14" s="649">
        <f t="shared" ref="C14:AC14" si="1">C13/$E$9</f>
        <v>7.7546095450959154E-2</v>
      </c>
      <c r="D14" s="649">
        <f t="shared" si="1"/>
        <v>9.6082609711685071E-2</v>
      </c>
      <c r="E14" s="649">
        <f t="shared" si="1"/>
        <v>0.13701726742881207</v>
      </c>
      <c r="F14" s="649">
        <f t="shared" si="1"/>
        <v>0.13895733697978488</v>
      </c>
      <c r="G14" s="649">
        <f t="shared" si="1"/>
        <v>0.1308904884532891</v>
      </c>
      <c r="H14" s="649">
        <f t="shared" si="1"/>
        <v>0.1002924565190733</v>
      </c>
      <c r="I14" s="649">
        <f t="shared" si="1"/>
        <v>7.8682140948308776E-2</v>
      </c>
      <c r="J14" s="649">
        <f t="shared" si="1"/>
        <v>5.2159759001020357E-2</v>
      </c>
      <c r="K14" s="649">
        <f t="shared" si="1"/>
        <v>4.1553582708045565E-2</v>
      </c>
      <c r="L14" s="649">
        <f t="shared" si="1"/>
        <v>2.5850240975842258E-2</v>
      </c>
      <c r="M14" s="649">
        <f t="shared" si="1"/>
        <v>2.298698984963015E-2</v>
      </c>
      <c r="N14" s="649">
        <f t="shared" si="1"/>
        <v>1.3666095173310567E-2</v>
      </c>
      <c r="O14" s="649">
        <f t="shared" si="1"/>
        <v>1.3663781435026758E-2</v>
      </c>
      <c r="P14" s="649">
        <f t="shared" si="1"/>
        <v>8.18484917896997E-3</v>
      </c>
      <c r="Q14" s="649">
        <f t="shared" si="1"/>
        <v>8.7146952459619485E-3</v>
      </c>
      <c r="R14" s="649">
        <f t="shared" si="1"/>
        <v>5.3690296875759198E-3</v>
      </c>
      <c r="S14" s="649">
        <f t="shared" si="1"/>
        <v>6.0423275281639797E-3</v>
      </c>
      <c r="T14" s="649">
        <f t="shared" si="1"/>
        <v>3.8500605042561214E-3</v>
      </c>
      <c r="U14" s="649">
        <f t="shared" si="1"/>
        <v>4.4712992334585066E-3</v>
      </c>
      <c r="V14" s="649">
        <f t="shared" si="1"/>
        <v>2.8458980890835512E-3</v>
      </c>
      <c r="W14" s="649">
        <f t="shared" si="1"/>
        <v>3.4197051834678771E-3</v>
      </c>
      <c r="X14" s="649">
        <f t="shared" si="1"/>
        <v>3.1860176168032931E-3</v>
      </c>
      <c r="Y14" s="649">
        <f t="shared" si="1"/>
        <v>3.0691738334710007E-3</v>
      </c>
      <c r="Z14" s="649">
        <f t="shared" si="1"/>
        <v>2.9164671067396881E-3</v>
      </c>
      <c r="AA14" s="649">
        <f t="shared" si="1"/>
        <v>2.6850932783589118E-3</v>
      </c>
      <c r="AB14" s="649">
        <f t="shared" si="1"/>
        <v>2.2986989849630149E-3</v>
      </c>
      <c r="AC14" s="650">
        <f t="shared" si="1"/>
        <v>1.3597839893938236E-2</v>
      </c>
      <c r="AD14" s="1016"/>
      <c r="AE14" s="1017"/>
      <c r="AF14" s="1017"/>
      <c r="AG14" s="1017"/>
      <c r="AH14" s="1017"/>
      <c r="AI14" s="1017"/>
      <c r="AJ14" s="1017"/>
    </row>
    <row r="15" spans="2:36" ht="13.5" thickBot="1">
      <c r="B15" s="349"/>
      <c r="C15" s="350"/>
      <c r="D15" s="350"/>
      <c r="E15" s="350"/>
      <c r="F15" s="350"/>
      <c r="G15" s="350"/>
      <c r="H15" s="351"/>
      <c r="I15" s="352"/>
      <c r="J15" s="352"/>
      <c r="K15" s="352"/>
      <c r="L15" s="352"/>
      <c r="M15" s="352"/>
      <c r="N15" s="352"/>
      <c r="O15" s="352"/>
      <c r="P15" s="352"/>
      <c r="Q15" s="352"/>
      <c r="R15" s="352"/>
      <c r="S15" s="352"/>
      <c r="T15" s="352"/>
      <c r="U15" s="352"/>
      <c r="V15" s="352"/>
      <c r="W15" s="352"/>
      <c r="X15" s="352"/>
      <c r="Y15" s="352"/>
      <c r="Z15" s="352"/>
      <c r="AA15" s="352"/>
      <c r="AB15" s="352"/>
      <c r="AC15" s="352"/>
    </row>
    <row r="16" spans="2:36" ht="13.5" thickBot="1">
      <c r="B16" s="353"/>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row>
    <row r="17" spans="2:29" s="357" customFormat="1" ht="27" customHeight="1">
      <c r="B17" s="525" t="s">
        <v>432</v>
      </c>
      <c r="C17" s="667"/>
      <c r="D17" s="667"/>
      <c r="E17" s="667"/>
      <c r="F17" s="667"/>
      <c r="G17" s="667"/>
      <c r="H17" s="668"/>
      <c r="I17" s="656"/>
      <c r="J17" s="656"/>
      <c r="K17" s="656"/>
      <c r="L17" s="656"/>
      <c r="M17" s="656"/>
      <c r="N17" s="656"/>
      <c r="O17" s="656"/>
      <c r="P17" s="656"/>
      <c r="Q17" s="656"/>
      <c r="R17" s="656"/>
      <c r="S17" s="656"/>
      <c r="T17" s="656"/>
      <c r="U17" s="656"/>
      <c r="V17" s="656"/>
      <c r="W17" s="656"/>
      <c r="X17" s="656"/>
      <c r="Y17" s="656"/>
      <c r="Z17" s="656"/>
      <c r="AA17" s="656"/>
      <c r="AB17" s="656"/>
      <c r="AC17" s="656"/>
    </row>
    <row r="18" spans="2:29" ht="15" customHeight="1">
      <c r="B18" s="1018" t="str">
        <f>"Exclude all residential bills that were for volumes up to 25,000 gallons/month, and analyze only the "&amp;AC13&amp;" bills with volumes greater than 25,000 gallons/month."</f>
        <v>Exclude all residential bills that were for volumes up to 25,000 gallons/month, and analyze only the 11754 bills with volumes greater than 25,000 gallons/month.</v>
      </c>
      <c r="C18" s="1019"/>
      <c r="D18" s="1019"/>
      <c r="E18" s="1019"/>
      <c r="F18" s="1019"/>
      <c r="G18" s="1019"/>
      <c r="H18" s="1020"/>
      <c r="J18" s="125"/>
      <c r="K18" s="125"/>
      <c r="M18" s="125"/>
      <c r="N18" s="125"/>
      <c r="P18" s="125"/>
      <c r="Q18" s="125"/>
      <c r="S18" s="125"/>
    </row>
    <row r="19" spans="2:29" ht="15.75" customHeight="1">
      <c r="B19" s="1018"/>
      <c r="C19" s="1019"/>
      <c r="D19" s="1019"/>
      <c r="E19" s="1019"/>
      <c r="F19" s="1019"/>
      <c r="G19" s="1019"/>
      <c r="H19" s="1020"/>
      <c r="J19" s="125"/>
      <c r="K19" s="125"/>
      <c r="M19" s="125"/>
      <c r="N19" s="125"/>
      <c r="P19" s="125"/>
      <c r="Q19" s="125"/>
      <c r="S19" s="125"/>
    </row>
    <row r="20" spans="2:29">
      <c r="B20" s="669"/>
      <c r="C20" s="660"/>
      <c r="D20" s="660"/>
      <c r="E20" s="660"/>
      <c r="F20" s="660"/>
      <c r="G20" s="660"/>
      <c r="H20" s="670"/>
      <c r="J20" s="125"/>
      <c r="K20" s="125"/>
      <c r="M20" s="125"/>
      <c r="N20" s="125"/>
      <c r="P20" s="125"/>
      <c r="Q20" s="125"/>
      <c r="S20" s="125"/>
    </row>
    <row r="21" spans="2:29" s="347" customFormat="1" ht="22.5" customHeight="1">
      <c r="B21" s="671" t="s">
        <v>434</v>
      </c>
      <c r="C21" s="642"/>
      <c r="D21" s="642"/>
      <c r="E21" s="657">
        <v>27500</v>
      </c>
      <c r="F21" s="354" t="s">
        <v>177</v>
      </c>
      <c r="G21" s="643"/>
      <c r="H21" s="672"/>
      <c r="J21" s="645"/>
      <c r="K21" s="645"/>
      <c r="M21" s="645"/>
      <c r="N21" s="645"/>
      <c r="P21" s="645"/>
      <c r="Q21" s="645"/>
      <c r="S21" s="645"/>
    </row>
    <row r="22" spans="2:29" s="347" customFormat="1">
      <c r="B22" s="673"/>
      <c r="C22" s="642"/>
      <c r="D22" s="642"/>
      <c r="E22" s="703"/>
      <c r="F22" s="658"/>
      <c r="G22" s="643"/>
      <c r="H22" s="672"/>
      <c r="J22" s="645"/>
      <c r="K22" s="645"/>
      <c r="M22" s="645"/>
      <c r="N22" s="645"/>
      <c r="P22" s="645"/>
      <c r="Q22" s="645"/>
      <c r="S22" s="645"/>
    </row>
    <row r="23" spans="2:29" s="347" customFormat="1" ht="15">
      <c r="B23" s="671" t="s">
        <v>433</v>
      </c>
      <c r="C23" s="642"/>
      <c r="D23" s="642"/>
      <c r="E23" s="703"/>
      <c r="F23" s="658"/>
      <c r="G23" s="643"/>
      <c r="H23" s="672"/>
      <c r="J23" s="645"/>
      <c r="K23" s="645"/>
      <c r="M23" s="645"/>
      <c r="N23" s="645"/>
      <c r="P23" s="645"/>
      <c r="Q23" s="645"/>
      <c r="S23" s="645"/>
    </row>
    <row r="24" spans="2:29" ht="14.25">
      <c r="B24" s="674" t="str">
        <f>"According to the REFERENCE rates, the charge for "&amp;E21&amp;" gallons/month is computed as"</f>
        <v>According to the REFERENCE rates, the charge for 27500 gallons/month is computed as</v>
      </c>
      <c r="C24" s="661"/>
      <c r="D24" s="639"/>
      <c r="E24" s="662">
        <f>'Input REFERENCE Rates'!S51</f>
        <v>73.75</v>
      </c>
      <c r="F24" s="663" t="s">
        <v>16</v>
      </c>
      <c r="G24" s="1007"/>
      <c r="H24" s="1008"/>
      <c r="J24" s="125"/>
      <c r="K24" s="125"/>
      <c r="M24" s="125"/>
      <c r="N24" s="125"/>
      <c r="P24" s="125"/>
      <c r="Q24" s="125"/>
      <c r="S24" s="125"/>
    </row>
    <row r="25" spans="2:29" ht="15">
      <c r="B25" s="675" t="s">
        <v>437</v>
      </c>
      <c r="C25" s="663"/>
      <c r="D25" s="663"/>
      <c r="E25" s="687"/>
      <c r="F25" s="686" t="s">
        <v>436</v>
      </c>
      <c r="G25" s="356"/>
      <c r="H25" s="676"/>
      <c r="I25" s="357"/>
      <c r="J25" s="358"/>
      <c r="K25" s="358"/>
      <c r="L25" s="357"/>
      <c r="M25" s="358"/>
      <c r="N25" s="358"/>
      <c r="O25" s="357"/>
      <c r="P25" s="358"/>
      <c r="Q25" s="358"/>
      <c r="R25" s="357"/>
      <c r="S25" s="358"/>
      <c r="T25" s="357"/>
      <c r="U25" s="357"/>
      <c r="V25" s="357"/>
      <c r="W25" s="357"/>
      <c r="X25" s="357"/>
    </row>
    <row r="26" spans="2:29" ht="14.25">
      <c r="B26" s="677" t="s">
        <v>435</v>
      </c>
      <c r="C26" s="664"/>
      <c r="D26" s="664"/>
      <c r="E26" s="665">
        <f>IF(E25="",E24,E25)</f>
        <v>73.75</v>
      </c>
      <c r="F26" s="639"/>
      <c r="G26" s="666"/>
      <c r="H26" s="678"/>
      <c r="I26" s="357"/>
      <c r="J26" s="358"/>
      <c r="K26" s="358"/>
      <c r="L26" s="357"/>
      <c r="M26" s="358"/>
      <c r="N26" s="358"/>
      <c r="O26" s="357"/>
      <c r="P26" s="358"/>
      <c r="Q26" s="358"/>
      <c r="R26" s="357"/>
      <c r="S26" s="358"/>
      <c r="T26" s="357"/>
      <c r="U26" s="357"/>
      <c r="V26" s="357"/>
      <c r="W26" s="357"/>
      <c r="X26" s="357"/>
    </row>
    <row r="27" spans="2:29" ht="15" thickBot="1">
      <c r="B27" s="679"/>
      <c r="C27" s="680"/>
      <c r="D27" s="680"/>
      <c r="E27" s="681"/>
      <c r="F27" s="682"/>
      <c r="G27" s="683"/>
      <c r="H27" s="684"/>
      <c r="I27" s="357"/>
      <c r="J27" s="358"/>
      <c r="K27" s="358"/>
      <c r="L27" s="357"/>
      <c r="M27" s="358"/>
      <c r="N27" s="358"/>
      <c r="O27" s="357"/>
      <c r="P27" s="358"/>
      <c r="Q27" s="358"/>
      <c r="R27" s="357"/>
      <c r="S27" s="358"/>
      <c r="T27" s="357"/>
      <c r="U27" s="357"/>
      <c r="V27" s="357"/>
      <c r="W27" s="357"/>
      <c r="X27" s="357"/>
    </row>
    <row r="28" spans="2:29" ht="13.5" thickBot="1">
      <c r="D28" s="359"/>
      <c r="E28" s="359"/>
      <c r="F28" s="359"/>
      <c r="G28" s="360"/>
      <c r="H28" s="360"/>
      <c r="I28" s="360"/>
      <c r="J28" s="360"/>
      <c r="K28" s="360"/>
      <c r="L28" s="360"/>
      <c r="M28" s="360"/>
      <c r="N28" s="360"/>
      <c r="O28" s="360"/>
      <c r="P28" s="360"/>
      <c r="Q28" s="360"/>
      <c r="R28" s="360"/>
      <c r="S28" s="360"/>
      <c r="T28" s="360"/>
      <c r="U28" s="360"/>
      <c r="V28" s="360"/>
      <c r="W28" s="360"/>
    </row>
    <row r="29" spans="2:29" ht="48.75" customHeight="1">
      <c r="B29" s="1009" t="s">
        <v>380</v>
      </c>
      <c r="C29" s="1010"/>
      <c r="D29" s="1010"/>
      <c r="E29" s="1010"/>
      <c r="F29" s="1010"/>
      <c r="G29" s="1010"/>
      <c r="H29" s="1011"/>
      <c r="I29" s="360"/>
      <c r="J29" s="360"/>
      <c r="K29" s="360"/>
      <c r="L29" s="360"/>
      <c r="M29" s="360"/>
      <c r="N29" s="360"/>
      <c r="O29" s="360"/>
      <c r="P29" s="360"/>
      <c r="Q29" s="360"/>
      <c r="R29" s="360"/>
      <c r="S29" s="360"/>
      <c r="T29" s="360"/>
      <c r="U29" s="360"/>
      <c r="V29" s="360"/>
      <c r="W29" s="360"/>
    </row>
    <row r="30" spans="2:29">
      <c r="B30" s="361"/>
      <c r="C30" s="362"/>
      <c r="D30" s="363"/>
      <c r="E30" s="363"/>
      <c r="F30" s="363"/>
      <c r="G30" s="364"/>
      <c r="H30" s="365"/>
      <c r="I30" s="360"/>
      <c r="J30" s="360"/>
      <c r="K30" s="360"/>
      <c r="L30" s="360"/>
      <c r="M30" s="360"/>
      <c r="N30" s="360"/>
      <c r="O30" s="360"/>
      <c r="P30" s="360"/>
      <c r="Q30" s="360"/>
      <c r="R30" s="360"/>
      <c r="S30" s="360"/>
      <c r="T30" s="360"/>
      <c r="U30" s="360"/>
      <c r="V30" s="360"/>
      <c r="W30" s="360"/>
    </row>
    <row r="31" spans="2:29" ht="15.75">
      <c r="B31" s="698" t="s">
        <v>439</v>
      </c>
      <c r="C31" s="699"/>
      <c r="D31" s="699"/>
      <c r="E31" s="179"/>
      <c r="F31" s="704">
        <f>ROUND((SUMPRODUCT(C13:AB13,C8:AB8)+AC13*E21)/SUM(C13:AC13),0)</f>
        <v>5130</v>
      </c>
      <c r="G31" s="705" t="s">
        <v>177</v>
      </c>
      <c r="H31" s="365"/>
      <c r="I31" s="360"/>
      <c r="J31" s="360"/>
      <c r="K31" s="360"/>
      <c r="L31" s="360"/>
      <c r="M31" s="360"/>
      <c r="N31" s="360"/>
      <c r="O31" s="360"/>
      <c r="P31" s="360"/>
      <c r="Q31" s="360"/>
      <c r="R31" s="360"/>
      <c r="S31" s="360"/>
      <c r="T31" s="360"/>
      <c r="U31" s="360"/>
      <c r="V31" s="360"/>
      <c r="W31" s="360"/>
    </row>
    <row r="32" spans="2:29" ht="15">
      <c r="B32" s="698"/>
      <c r="C32" s="699"/>
      <c r="D32" s="699"/>
      <c r="E32" s="179"/>
      <c r="F32" s="366"/>
      <c r="G32" s="367"/>
      <c r="H32" s="365"/>
      <c r="I32" s="360"/>
      <c r="J32" s="360"/>
      <c r="K32" s="360"/>
      <c r="L32" s="360"/>
      <c r="M32" s="360"/>
      <c r="N32" s="360"/>
      <c r="O32" s="360"/>
      <c r="P32" s="360"/>
      <c r="Q32" s="360"/>
      <c r="R32" s="360"/>
      <c r="S32" s="360"/>
      <c r="T32" s="360"/>
      <c r="U32" s="360"/>
      <c r="V32" s="360"/>
      <c r="W32" s="360"/>
    </row>
    <row r="33" spans="2:51" s="371" customFormat="1" ht="15.75" thickBot="1">
      <c r="B33" s="700" t="s">
        <v>440</v>
      </c>
      <c r="C33" s="368"/>
      <c r="D33" s="368"/>
      <c r="E33" s="368"/>
      <c r="F33" s="368"/>
      <c r="G33" s="369"/>
      <c r="H33" s="370"/>
      <c r="AY33" s="372"/>
    </row>
    <row r="34" spans="2:51" s="373" customFormat="1" ht="27" customHeight="1">
      <c r="B34" s="346" t="s">
        <v>301</v>
      </c>
      <c r="C34" s="694">
        <f t="shared" ref="C34:AC34" si="2">C12</f>
        <v>0</v>
      </c>
      <c r="D34" s="694" t="str">
        <f t="shared" si="2"/>
        <v>1 - 1000</v>
      </c>
      <c r="E34" s="694" t="str">
        <f t="shared" si="2"/>
        <v>1001 - 2000</v>
      </c>
      <c r="F34" s="694" t="str">
        <f t="shared" si="2"/>
        <v>2001 - 3000</v>
      </c>
      <c r="G34" s="694" t="str">
        <f t="shared" si="2"/>
        <v>3001 - 4000</v>
      </c>
      <c r="H34" s="694" t="str">
        <f t="shared" si="2"/>
        <v>4001 - 5000</v>
      </c>
      <c r="I34" s="694" t="str">
        <f t="shared" si="2"/>
        <v>5001 - 6000</v>
      </c>
      <c r="J34" s="694" t="str">
        <f t="shared" si="2"/>
        <v>6001 - 7000</v>
      </c>
      <c r="K34" s="694" t="str">
        <f t="shared" si="2"/>
        <v>7001 - 8000</v>
      </c>
      <c r="L34" s="694" t="str">
        <f t="shared" si="2"/>
        <v>8001 - 9000</v>
      </c>
      <c r="M34" s="694" t="str">
        <f t="shared" si="2"/>
        <v>9001 - 10000</v>
      </c>
      <c r="N34" s="694" t="str">
        <f t="shared" si="2"/>
        <v>10001 - 11000</v>
      </c>
      <c r="O34" s="694" t="str">
        <f t="shared" si="2"/>
        <v>11001 - 12000</v>
      </c>
      <c r="P34" s="694" t="str">
        <f t="shared" si="2"/>
        <v>12001 - 13000</v>
      </c>
      <c r="Q34" s="694" t="str">
        <f t="shared" si="2"/>
        <v>13001 - 14000</v>
      </c>
      <c r="R34" s="694" t="str">
        <f t="shared" si="2"/>
        <v>14001 - 15000</v>
      </c>
      <c r="S34" s="694" t="str">
        <f t="shared" si="2"/>
        <v>15001 - 16000</v>
      </c>
      <c r="T34" s="694" t="str">
        <f t="shared" si="2"/>
        <v>16001 - 17000</v>
      </c>
      <c r="U34" s="694" t="str">
        <f t="shared" si="2"/>
        <v>17001 - 18000</v>
      </c>
      <c r="V34" s="694" t="str">
        <f t="shared" si="2"/>
        <v>18001 - 19000</v>
      </c>
      <c r="W34" s="694" t="str">
        <f t="shared" si="2"/>
        <v>19001 - 20000</v>
      </c>
      <c r="X34" s="694" t="str">
        <f t="shared" si="2"/>
        <v>20001 - 21000</v>
      </c>
      <c r="Y34" s="694" t="str">
        <f t="shared" si="2"/>
        <v>21001 - 22000</v>
      </c>
      <c r="Z34" s="694" t="str">
        <f t="shared" si="2"/>
        <v>22001 - 23000</v>
      </c>
      <c r="AA34" s="694" t="str">
        <f t="shared" si="2"/>
        <v>23001 - 24000</v>
      </c>
      <c r="AB34" s="694" t="str">
        <f t="shared" si="2"/>
        <v>24001 - 25000</v>
      </c>
      <c r="AC34" s="695" t="str">
        <f t="shared" si="2"/>
        <v>&gt;25,000</v>
      </c>
    </row>
    <row r="35" spans="2:51" s="375" customFormat="1" ht="15">
      <c r="B35" s="348" t="s">
        <v>224</v>
      </c>
      <c r="C35" s="688">
        <f t="array" ref="C35:AB35">TRANSPOSE('Input REFERENCE Rates'!F57:F82)</f>
        <v>5</v>
      </c>
      <c r="D35" s="688">
        <v>7.5</v>
      </c>
      <c r="E35" s="688">
        <v>10</v>
      </c>
      <c r="F35" s="688">
        <v>12.5</v>
      </c>
      <c r="G35" s="688">
        <v>15</v>
      </c>
      <c r="H35" s="688">
        <v>17.5</v>
      </c>
      <c r="I35" s="688">
        <v>20</v>
      </c>
      <c r="J35" s="688">
        <v>22.5</v>
      </c>
      <c r="K35" s="688">
        <v>25</v>
      </c>
      <c r="L35" s="688">
        <v>27.5</v>
      </c>
      <c r="M35" s="688">
        <v>30</v>
      </c>
      <c r="N35" s="688">
        <v>32.5</v>
      </c>
      <c r="O35" s="688">
        <v>35</v>
      </c>
      <c r="P35" s="688">
        <v>37.5</v>
      </c>
      <c r="Q35" s="688">
        <v>40</v>
      </c>
      <c r="R35" s="688">
        <v>42.5</v>
      </c>
      <c r="S35" s="688">
        <v>45</v>
      </c>
      <c r="T35" s="688">
        <v>47.5</v>
      </c>
      <c r="U35" s="688">
        <v>50</v>
      </c>
      <c r="V35" s="688">
        <v>52.5</v>
      </c>
      <c r="W35" s="688">
        <v>55</v>
      </c>
      <c r="X35" s="688">
        <v>57.5</v>
      </c>
      <c r="Y35" s="688">
        <v>60</v>
      </c>
      <c r="Z35" s="688">
        <v>62.5</v>
      </c>
      <c r="AA35" s="688">
        <v>65</v>
      </c>
      <c r="AB35" s="688">
        <v>67.5</v>
      </c>
      <c r="AC35" s="689">
        <f>E26</f>
        <v>73.75</v>
      </c>
      <c r="AD35" s="696"/>
      <c r="AE35" s="374"/>
      <c r="AF35" s="374"/>
      <c r="AG35" s="374"/>
    </row>
    <row r="36" spans="2:51" ht="15">
      <c r="B36" s="348" t="s">
        <v>304</v>
      </c>
      <c r="C36" s="165">
        <f t="shared" ref="C36:AC36" si="3">C13*C35</f>
        <v>335155</v>
      </c>
      <c r="D36" s="165">
        <f t="shared" si="3"/>
        <v>622905</v>
      </c>
      <c r="E36" s="165">
        <f t="shared" si="3"/>
        <v>1184380</v>
      </c>
      <c r="F36" s="165">
        <f t="shared" si="3"/>
        <v>1501437.5</v>
      </c>
      <c r="G36" s="165">
        <f t="shared" si="3"/>
        <v>1697130</v>
      </c>
      <c r="H36" s="165">
        <f t="shared" si="3"/>
        <v>1517127.5</v>
      </c>
      <c r="I36" s="165">
        <f t="shared" si="3"/>
        <v>1360260</v>
      </c>
      <c r="J36" s="165">
        <f t="shared" si="3"/>
        <v>1014457.5</v>
      </c>
      <c r="K36" s="165">
        <f t="shared" si="3"/>
        <v>897975</v>
      </c>
      <c r="L36" s="165">
        <f t="shared" si="3"/>
        <v>614487.5</v>
      </c>
      <c r="M36" s="165">
        <f t="shared" si="3"/>
        <v>596100</v>
      </c>
      <c r="N36" s="165">
        <f t="shared" si="3"/>
        <v>383922.5</v>
      </c>
      <c r="O36" s="165">
        <f t="shared" si="3"/>
        <v>413385</v>
      </c>
      <c r="P36" s="165">
        <f t="shared" si="3"/>
        <v>265312.5</v>
      </c>
      <c r="Q36" s="165">
        <f t="shared" si="3"/>
        <v>301320</v>
      </c>
      <c r="R36" s="165">
        <f t="shared" si="3"/>
        <v>197242.5</v>
      </c>
      <c r="S36" s="165">
        <f t="shared" si="3"/>
        <v>235035</v>
      </c>
      <c r="T36" s="165">
        <f t="shared" si="3"/>
        <v>158080</v>
      </c>
      <c r="U36" s="165">
        <f t="shared" si="3"/>
        <v>193250</v>
      </c>
      <c r="V36" s="165">
        <f t="shared" si="3"/>
        <v>129150</v>
      </c>
      <c r="W36" s="165">
        <f t="shared" si="3"/>
        <v>162580</v>
      </c>
      <c r="X36" s="165">
        <f t="shared" si="3"/>
        <v>158355</v>
      </c>
      <c r="Y36" s="165">
        <f t="shared" si="3"/>
        <v>159180</v>
      </c>
      <c r="Z36" s="165">
        <f t="shared" si="3"/>
        <v>157562.5</v>
      </c>
      <c r="AA36" s="165">
        <f t="shared" si="3"/>
        <v>150865</v>
      </c>
      <c r="AB36" s="165">
        <f t="shared" si="3"/>
        <v>134122.5</v>
      </c>
      <c r="AC36" s="690">
        <f t="shared" si="3"/>
        <v>866857.5</v>
      </c>
      <c r="AD36" s="697" t="s">
        <v>438</v>
      </c>
      <c r="AY36" s="376"/>
    </row>
    <row r="37" spans="2:51" ht="15">
      <c r="B37" s="691" t="s">
        <v>305</v>
      </c>
      <c r="C37" s="165">
        <f t="shared" ref="C37:AC37" si="4">$C$35*C13</f>
        <v>335155</v>
      </c>
      <c r="D37" s="165">
        <f t="shared" si="4"/>
        <v>415270</v>
      </c>
      <c r="E37" s="165">
        <f t="shared" si="4"/>
        <v>592190</v>
      </c>
      <c r="F37" s="165">
        <f t="shared" si="4"/>
        <v>600575</v>
      </c>
      <c r="G37" s="165">
        <f t="shared" si="4"/>
        <v>565710</v>
      </c>
      <c r="H37" s="165">
        <f t="shared" si="4"/>
        <v>433465</v>
      </c>
      <c r="I37" s="165">
        <f t="shared" si="4"/>
        <v>340065</v>
      </c>
      <c r="J37" s="165">
        <f t="shared" si="4"/>
        <v>225435</v>
      </c>
      <c r="K37" s="165">
        <f t="shared" si="4"/>
        <v>179595</v>
      </c>
      <c r="L37" s="165">
        <f t="shared" si="4"/>
        <v>111725</v>
      </c>
      <c r="M37" s="165">
        <f t="shared" si="4"/>
        <v>99350</v>
      </c>
      <c r="N37" s="165">
        <f t="shared" si="4"/>
        <v>59065</v>
      </c>
      <c r="O37" s="165">
        <f t="shared" si="4"/>
        <v>59055</v>
      </c>
      <c r="P37" s="165">
        <f t="shared" si="4"/>
        <v>35375</v>
      </c>
      <c r="Q37" s="165">
        <f t="shared" si="4"/>
        <v>37665</v>
      </c>
      <c r="R37" s="165">
        <f t="shared" si="4"/>
        <v>23205</v>
      </c>
      <c r="S37" s="165">
        <f t="shared" si="4"/>
        <v>26115</v>
      </c>
      <c r="T37" s="165">
        <f t="shared" si="4"/>
        <v>16640</v>
      </c>
      <c r="U37" s="165">
        <f t="shared" si="4"/>
        <v>19325</v>
      </c>
      <c r="V37" s="165">
        <f t="shared" si="4"/>
        <v>12300</v>
      </c>
      <c r="W37" s="165">
        <f t="shared" si="4"/>
        <v>14780</v>
      </c>
      <c r="X37" s="165">
        <f t="shared" si="4"/>
        <v>13770</v>
      </c>
      <c r="Y37" s="165">
        <f t="shared" si="4"/>
        <v>13265</v>
      </c>
      <c r="Z37" s="165">
        <f t="shared" si="4"/>
        <v>12605</v>
      </c>
      <c r="AA37" s="165">
        <f t="shared" si="4"/>
        <v>11605</v>
      </c>
      <c r="AB37" s="165">
        <f t="shared" si="4"/>
        <v>9935</v>
      </c>
      <c r="AC37" s="690">
        <f t="shared" si="4"/>
        <v>58770</v>
      </c>
      <c r="AY37" s="376"/>
    </row>
    <row r="38" spans="2:51" ht="15.75" thickBot="1">
      <c r="B38" s="348" t="s">
        <v>306</v>
      </c>
      <c r="C38" s="165">
        <f>C36-C37</f>
        <v>0</v>
      </c>
      <c r="D38" s="165">
        <f t="shared" ref="D38:AC38" si="5">D36-D37</f>
        <v>207635</v>
      </c>
      <c r="E38" s="165">
        <f t="shared" si="5"/>
        <v>592190</v>
      </c>
      <c r="F38" s="165">
        <f t="shared" si="5"/>
        <v>900862.5</v>
      </c>
      <c r="G38" s="165">
        <f t="shared" si="5"/>
        <v>1131420</v>
      </c>
      <c r="H38" s="165">
        <f t="shared" si="5"/>
        <v>1083662.5</v>
      </c>
      <c r="I38" s="692">
        <f t="shared" si="5"/>
        <v>1020195</v>
      </c>
      <c r="J38" s="692">
        <f t="shared" si="5"/>
        <v>789022.5</v>
      </c>
      <c r="K38" s="692">
        <f t="shared" si="5"/>
        <v>718380</v>
      </c>
      <c r="L38" s="692">
        <f t="shared" si="5"/>
        <v>502762.5</v>
      </c>
      <c r="M38" s="692">
        <f t="shared" si="5"/>
        <v>496750</v>
      </c>
      <c r="N38" s="692">
        <f t="shared" si="5"/>
        <v>324857.5</v>
      </c>
      <c r="O38" s="692">
        <f t="shared" si="5"/>
        <v>354330</v>
      </c>
      <c r="P38" s="692">
        <f t="shared" si="5"/>
        <v>229937.5</v>
      </c>
      <c r="Q38" s="692">
        <f t="shared" si="5"/>
        <v>263655</v>
      </c>
      <c r="R38" s="692">
        <f t="shared" si="5"/>
        <v>174037.5</v>
      </c>
      <c r="S38" s="692">
        <f t="shared" si="5"/>
        <v>208920</v>
      </c>
      <c r="T38" s="692">
        <f t="shared" si="5"/>
        <v>141440</v>
      </c>
      <c r="U38" s="692">
        <f t="shared" si="5"/>
        <v>173925</v>
      </c>
      <c r="V38" s="692">
        <f t="shared" si="5"/>
        <v>116850</v>
      </c>
      <c r="W38" s="692">
        <f t="shared" si="5"/>
        <v>147800</v>
      </c>
      <c r="X38" s="692">
        <f t="shared" si="5"/>
        <v>144585</v>
      </c>
      <c r="Y38" s="692">
        <f t="shared" si="5"/>
        <v>145915</v>
      </c>
      <c r="Z38" s="692">
        <f t="shared" si="5"/>
        <v>144957.5</v>
      </c>
      <c r="AA38" s="692">
        <f t="shared" si="5"/>
        <v>139260</v>
      </c>
      <c r="AB38" s="692">
        <f t="shared" si="5"/>
        <v>124187.5</v>
      </c>
      <c r="AC38" s="693">
        <f t="shared" si="5"/>
        <v>808087.5</v>
      </c>
      <c r="AY38" s="376"/>
    </row>
    <row r="39" spans="2:51" s="371" customFormat="1">
      <c r="B39" s="746"/>
      <c r="C39" s="747"/>
      <c r="D39" s="747"/>
      <c r="E39" s="747"/>
      <c r="F39" s="747"/>
      <c r="G39" s="748"/>
      <c r="H39" s="749"/>
      <c r="AY39" s="372"/>
    </row>
    <row r="40" spans="2:51" s="701" customFormat="1" ht="31.5" customHeight="1">
      <c r="B40" s="750" t="s">
        <v>441</v>
      </c>
      <c r="C40" s="705"/>
      <c r="D40" s="751"/>
      <c r="E40" s="752">
        <f>ROUND(SUM(C36:AC36),-3)</f>
        <v>15408000</v>
      </c>
      <c r="F40" s="753"/>
      <c r="G40" s="754"/>
      <c r="H40" s="755"/>
      <c r="AY40" s="702"/>
    </row>
    <row r="41" spans="2:51" s="371" customFormat="1" ht="15">
      <c r="B41" s="1012" t="s">
        <v>367</v>
      </c>
      <c r="C41" s="1013"/>
      <c r="D41" s="368"/>
      <c r="E41" s="155">
        <f>ROUND(SUM(C37:AC37),-3)</f>
        <v>4322000</v>
      </c>
      <c r="F41" s="756">
        <f>E41/E40</f>
        <v>0.28050363447559712</v>
      </c>
      <c r="G41" s="757" t="s">
        <v>442</v>
      </c>
      <c r="H41" s="758"/>
      <c r="AY41" s="372"/>
    </row>
    <row r="42" spans="2:51" s="371" customFormat="1" ht="15">
      <c r="B42" s="1014" t="s">
        <v>368</v>
      </c>
      <c r="C42" s="1015"/>
      <c r="D42" s="368"/>
      <c r="E42" s="155">
        <f>ROUND(SUM(C38:AC38),-3)</f>
        <v>11086000</v>
      </c>
      <c r="F42" s="756">
        <f>E42/E40</f>
        <v>0.71949636552440288</v>
      </c>
      <c r="G42" s="759" t="s">
        <v>442</v>
      </c>
      <c r="H42" s="758"/>
      <c r="AY42" s="372"/>
    </row>
    <row r="43" spans="2:51" s="371" customFormat="1">
      <c r="B43" s="760"/>
      <c r="C43" s="368"/>
      <c r="D43" s="368"/>
      <c r="E43" s="368"/>
      <c r="F43" s="368"/>
      <c r="G43" s="369"/>
      <c r="H43" s="758"/>
      <c r="AY43" s="372"/>
    </row>
    <row r="44" spans="2:51" s="371" customFormat="1">
      <c r="B44" s="760"/>
      <c r="C44" s="368"/>
      <c r="D44" s="368"/>
      <c r="E44" s="368"/>
      <c r="F44" s="368"/>
      <c r="G44" s="369"/>
      <c r="H44" s="758"/>
      <c r="AY44" s="372"/>
    </row>
    <row r="45" spans="2:51" s="371" customFormat="1">
      <c r="B45" s="760"/>
      <c r="C45" s="368"/>
      <c r="D45" s="368"/>
      <c r="E45" s="368"/>
      <c r="F45" s="368"/>
      <c r="G45" s="369"/>
      <c r="H45" s="758"/>
      <c r="AY45" s="372"/>
    </row>
    <row r="46" spans="2:51" s="371" customFormat="1">
      <c r="B46" s="760"/>
      <c r="C46" s="368"/>
      <c r="D46" s="368"/>
      <c r="E46" s="368"/>
      <c r="F46" s="368"/>
      <c r="G46" s="369"/>
      <c r="H46" s="758"/>
      <c r="AY46" s="372"/>
    </row>
    <row r="47" spans="2:51" s="371" customFormat="1">
      <c r="B47" s="760"/>
      <c r="C47" s="368"/>
      <c r="D47" s="368"/>
      <c r="E47" s="368"/>
      <c r="F47" s="368"/>
      <c r="G47" s="369"/>
      <c r="H47" s="758"/>
      <c r="AY47" s="372"/>
    </row>
    <row r="48" spans="2:51" s="371" customFormat="1">
      <c r="B48" s="760"/>
      <c r="C48" s="368"/>
      <c r="D48" s="368"/>
      <c r="E48" s="368"/>
      <c r="F48" s="368"/>
      <c r="G48" s="369"/>
      <c r="H48" s="758"/>
      <c r="AY48" s="372"/>
    </row>
    <row r="49" spans="2:51" s="371" customFormat="1">
      <c r="B49" s="760"/>
      <c r="C49" s="368"/>
      <c r="D49" s="368"/>
      <c r="E49" s="368"/>
      <c r="F49" s="368"/>
      <c r="G49" s="369"/>
      <c r="H49" s="758"/>
      <c r="AY49" s="372"/>
    </row>
    <row r="50" spans="2:51" s="371" customFormat="1">
      <c r="B50" s="760"/>
      <c r="C50" s="368"/>
      <c r="D50" s="368"/>
      <c r="E50" s="368"/>
      <c r="F50" s="368"/>
      <c r="G50" s="369"/>
      <c r="H50" s="758"/>
      <c r="AY50" s="372"/>
    </row>
    <row r="51" spans="2:51" s="371" customFormat="1">
      <c r="B51" s="760"/>
      <c r="C51" s="368"/>
      <c r="D51" s="368"/>
      <c r="E51" s="368"/>
      <c r="F51" s="368"/>
      <c r="G51" s="369"/>
      <c r="H51" s="758"/>
      <c r="AY51" s="372"/>
    </row>
    <row r="52" spans="2:51" s="371" customFormat="1">
      <c r="B52" s="760"/>
      <c r="C52" s="368"/>
      <c r="D52" s="368"/>
      <c r="E52" s="368"/>
      <c r="F52" s="368"/>
      <c r="G52" s="369"/>
      <c r="H52" s="758"/>
      <c r="AY52" s="372"/>
    </row>
    <row r="53" spans="2:51" s="371" customFormat="1">
      <c r="B53" s="760"/>
      <c r="C53" s="368"/>
      <c r="D53" s="368"/>
      <c r="E53" s="368"/>
      <c r="F53" s="368"/>
      <c r="G53" s="369"/>
      <c r="H53" s="758"/>
      <c r="AY53" s="372"/>
    </row>
    <row r="54" spans="2:51" s="371" customFormat="1">
      <c r="B54" s="760"/>
      <c r="C54" s="368"/>
      <c r="D54" s="368"/>
      <c r="E54" s="368"/>
      <c r="F54" s="368"/>
      <c r="G54" s="369"/>
      <c r="H54" s="758"/>
      <c r="AY54" s="372"/>
    </row>
    <row r="55" spans="2:51" s="371" customFormat="1">
      <c r="B55" s="760"/>
      <c r="C55" s="368"/>
      <c r="D55" s="368"/>
      <c r="E55" s="368"/>
      <c r="F55" s="368"/>
      <c r="G55" s="369"/>
      <c r="H55" s="758"/>
      <c r="AY55" s="372"/>
    </row>
    <row r="56" spans="2:51" s="371" customFormat="1">
      <c r="B56" s="760"/>
      <c r="C56" s="368"/>
      <c r="D56" s="368"/>
      <c r="E56" s="368"/>
      <c r="F56" s="368"/>
      <c r="G56" s="369"/>
      <c r="H56" s="758"/>
      <c r="AY56" s="372"/>
    </row>
    <row r="57" spans="2:51" s="371" customFormat="1">
      <c r="B57" s="760"/>
      <c r="C57" s="368"/>
      <c r="D57" s="368"/>
      <c r="E57" s="368"/>
      <c r="F57" s="368"/>
      <c r="G57" s="369"/>
      <c r="H57" s="758"/>
      <c r="AY57" s="372"/>
    </row>
    <row r="58" spans="2:51" s="371" customFormat="1">
      <c r="B58" s="760"/>
      <c r="C58" s="368"/>
      <c r="D58" s="368"/>
      <c r="E58" s="368"/>
      <c r="F58" s="368"/>
      <c r="G58" s="369"/>
      <c r="H58" s="758"/>
      <c r="AY58" s="372"/>
    </row>
    <row r="59" spans="2:51" s="371" customFormat="1">
      <c r="B59" s="760"/>
      <c r="C59" s="368"/>
      <c r="D59" s="368"/>
      <c r="E59" s="368"/>
      <c r="F59" s="368"/>
      <c r="G59" s="369"/>
      <c r="H59" s="758"/>
      <c r="AY59" s="372"/>
    </row>
    <row r="60" spans="2:51" s="371" customFormat="1">
      <c r="B60" s="760"/>
      <c r="C60" s="368"/>
      <c r="D60" s="368"/>
      <c r="E60" s="368"/>
      <c r="F60" s="368"/>
      <c r="G60" s="369"/>
      <c r="H60" s="758"/>
      <c r="AY60" s="372"/>
    </row>
    <row r="61" spans="2:51" s="371" customFormat="1">
      <c r="B61" s="760"/>
      <c r="C61" s="368"/>
      <c r="D61" s="368"/>
      <c r="E61" s="368"/>
      <c r="F61" s="368"/>
      <c r="G61" s="369"/>
      <c r="H61" s="758"/>
      <c r="AY61" s="372"/>
    </row>
    <row r="62" spans="2:51" s="371" customFormat="1">
      <c r="B62" s="760"/>
      <c r="C62" s="368"/>
      <c r="D62" s="368"/>
      <c r="E62" s="368"/>
      <c r="F62" s="368"/>
      <c r="G62" s="369"/>
      <c r="H62" s="758"/>
      <c r="AY62" s="372"/>
    </row>
    <row r="63" spans="2:51" s="371" customFormat="1">
      <c r="B63" s="760"/>
      <c r="C63" s="368"/>
      <c r="D63" s="368"/>
      <c r="E63" s="368"/>
      <c r="F63" s="368"/>
      <c r="G63" s="369"/>
      <c r="H63" s="758"/>
      <c r="AY63" s="372"/>
    </row>
    <row r="64" spans="2:51" s="371" customFormat="1">
      <c r="B64" s="760"/>
      <c r="C64" s="368"/>
      <c r="D64" s="368"/>
      <c r="E64" s="368"/>
      <c r="F64" s="368"/>
      <c r="G64" s="369"/>
      <c r="H64" s="758"/>
      <c r="AY64" s="372"/>
    </row>
    <row r="65" spans="2:51" s="371" customFormat="1">
      <c r="B65" s="760"/>
      <c r="C65" s="368"/>
      <c r="D65" s="368"/>
      <c r="E65" s="368"/>
      <c r="F65" s="368"/>
      <c r="G65" s="369"/>
      <c r="H65" s="758"/>
      <c r="AY65" s="372"/>
    </row>
    <row r="66" spans="2:51" s="371" customFormat="1">
      <c r="B66" s="760"/>
      <c r="C66" s="368"/>
      <c r="D66" s="368"/>
      <c r="E66" s="368"/>
      <c r="F66" s="368"/>
      <c r="G66" s="369"/>
      <c r="H66" s="758"/>
      <c r="AY66" s="372"/>
    </row>
    <row r="67" spans="2:51" s="371" customFormat="1">
      <c r="B67" s="760"/>
      <c r="C67" s="368"/>
      <c r="D67" s="368"/>
      <c r="E67" s="368"/>
      <c r="F67" s="368"/>
      <c r="G67" s="369"/>
      <c r="H67" s="758"/>
      <c r="AY67" s="372"/>
    </row>
    <row r="68" spans="2:51" s="371" customFormat="1">
      <c r="B68" s="760"/>
      <c r="C68" s="368"/>
      <c r="D68" s="368"/>
      <c r="E68" s="368"/>
      <c r="F68" s="368"/>
      <c r="G68" s="369"/>
      <c r="H68" s="758"/>
      <c r="AY68" s="372"/>
    </row>
    <row r="69" spans="2:51" s="371" customFormat="1">
      <c r="B69" s="760"/>
      <c r="C69" s="368"/>
      <c r="D69" s="368"/>
      <c r="E69" s="368"/>
      <c r="F69" s="368"/>
      <c r="G69" s="369"/>
      <c r="H69" s="758"/>
      <c r="AY69" s="372"/>
    </row>
    <row r="70" spans="2:51" s="371" customFormat="1" ht="13.5" thickBot="1">
      <c r="B70" s="761"/>
      <c r="C70" s="762"/>
      <c r="D70" s="762"/>
      <c r="E70" s="762"/>
      <c r="F70" s="762"/>
      <c r="G70" s="763"/>
      <c r="H70" s="764"/>
      <c r="AY70" s="372"/>
    </row>
    <row r="71" spans="2:51" s="371" customFormat="1">
      <c r="B71" s="377"/>
      <c r="C71" s="377"/>
      <c r="D71" s="377"/>
      <c r="E71" s="377"/>
      <c r="F71" s="377"/>
      <c r="G71" s="377"/>
      <c r="H71" s="377"/>
      <c r="AY71" s="372"/>
    </row>
    <row r="72" spans="2:51" s="371" customFormat="1">
      <c r="B72" s="984"/>
      <c r="C72" s="984"/>
      <c r="D72" s="984"/>
      <c r="E72" s="984"/>
      <c r="F72" s="984"/>
      <c r="G72" s="984"/>
      <c r="H72" s="984"/>
      <c r="AY72" s="372"/>
    </row>
    <row r="73" spans="2:51" s="371" customFormat="1">
      <c r="G73" s="378"/>
      <c r="H73" s="378"/>
      <c r="AY73" s="372"/>
    </row>
    <row r="74" spans="2:51" s="371" customFormat="1">
      <c r="G74" s="378"/>
      <c r="H74" s="378"/>
      <c r="AY74" s="372"/>
    </row>
    <row r="75" spans="2:51" s="371" customFormat="1">
      <c r="G75" s="378"/>
      <c r="H75" s="378"/>
      <c r="AY75" s="372"/>
    </row>
    <row r="76" spans="2:51" s="371" customFormat="1">
      <c r="G76" s="378"/>
      <c r="H76" s="378"/>
      <c r="AY76" s="372"/>
    </row>
    <row r="77" spans="2:51" s="371" customFormat="1">
      <c r="G77" s="378"/>
      <c r="H77" s="378"/>
      <c r="AY77" s="372"/>
    </row>
    <row r="78" spans="2:51" s="371" customFormat="1">
      <c r="G78" s="378"/>
      <c r="H78" s="378"/>
      <c r="AY78" s="372"/>
    </row>
    <row r="79" spans="2:51" s="371" customFormat="1">
      <c r="G79" s="378"/>
      <c r="H79" s="378"/>
      <c r="AY79" s="372"/>
    </row>
    <row r="80" spans="2:51" s="371" customFormat="1">
      <c r="G80" s="378"/>
      <c r="H80" s="378"/>
      <c r="AY80" s="372"/>
    </row>
    <row r="81" spans="7:51" s="371" customFormat="1">
      <c r="G81" s="378"/>
      <c r="H81" s="378"/>
      <c r="AY81" s="372"/>
    </row>
    <row r="82" spans="7:51" s="371" customFormat="1">
      <c r="G82" s="378"/>
      <c r="H82" s="378"/>
      <c r="AY82" s="372"/>
    </row>
    <row r="83" spans="7:51" s="371" customFormat="1">
      <c r="G83" s="378"/>
      <c r="H83" s="378"/>
      <c r="AY83" s="372"/>
    </row>
    <row r="84" spans="7:51">
      <c r="AY84" s="376"/>
    </row>
    <row r="85" spans="7:51">
      <c r="AY85" s="376"/>
    </row>
    <row r="86" spans="7:51">
      <c r="AY86" s="376"/>
    </row>
    <row r="87" spans="7:51">
      <c r="AY87" s="376"/>
    </row>
    <row r="88" spans="7:51">
      <c r="AY88" s="376"/>
    </row>
    <row r="89" spans="7:51">
      <c r="AY89" s="376"/>
    </row>
    <row r="90" spans="7:51">
      <c r="AY90" s="376"/>
    </row>
    <row r="91" spans="7:51">
      <c r="AY91" s="376"/>
    </row>
    <row r="92" spans="7:51">
      <c r="AY92" s="376"/>
    </row>
    <row r="93" spans="7:51">
      <c r="AY93" s="376"/>
    </row>
    <row r="94" spans="7:51">
      <c r="AY94" s="376"/>
    </row>
    <row r="95" spans="7:51">
      <c r="AY95" s="376"/>
    </row>
    <row r="96" spans="7:51">
      <c r="AY96" s="376"/>
    </row>
    <row r="97" spans="51:51">
      <c r="AY97" s="376"/>
    </row>
    <row r="98" spans="51:51">
      <c r="AY98" s="376"/>
    </row>
    <row r="99" spans="51:51">
      <c r="AY99" s="376"/>
    </row>
    <row r="100" spans="51:51">
      <c r="AY100" s="376"/>
    </row>
    <row r="101" spans="51:51">
      <c r="AY101" s="376"/>
    </row>
    <row r="102" spans="51:51">
      <c r="AY102" s="376"/>
    </row>
    <row r="103" spans="51:51">
      <c r="AY103" s="376"/>
    </row>
    <row r="104" spans="51:51">
      <c r="AY104" s="376"/>
    </row>
    <row r="105" spans="51:51">
      <c r="AY105" s="376"/>
    </row>
    <row r="106" spans="51:51">
      <c r="AY106" s="376"/>
    </row>
    <row r="107" spans="51:51">
      <c r="AY107" s="376"/>
    </row>
    <row r="108" spans="51:51">
      <c r="AY108" s="376"/>
    </row>
    <row r="109" spans="51:51">
      <c r="AY109" s="376"/>
    </row>
    <row r="110" spans="51:51">
      <c r="AY110" s="376"/>
    </row>
    <row r="111" spans="51:51">
      <c r="AY111" s="376"/>
    </row>
    <row r="112" spans="51:51">
      <c r="AY112" s="376"/>
    </row>
    <row r="113" spans="51:51">
      <c r="AY113" s="376"/>
    </row>
    <row r="114" spans="51:51">
      <c r="AY114" s="376"/>
    </row>
    <row r="115" spans="51:51">
      <c r="AY115" s="376"/>
    </row>
    <row r="116" spans="51:51">
      <c r="AY116" s="376"/>
    </row>
    <row r="117" spans="51:51">
      <c r="AY117" s="376"/>
    </row>
    <row r="118" spans="51:51">
      <c r="AY118" s="376"/>
    </row>
    <row r="119" spans="51:51">
      <c r="AY119" s="376"/>
    </row>
    <row r="120" spans="51:51">
      <c r="AY120" s="376"/>
    </row>
    <row r="121" spans="51:51">
      <c r="AY121" s="376"/>
    </row>
    <row r="122" spans="51:51">
      <c r="AY122" s="376"/>
    </row>
    <row r="123" spans="51:51">
      <c r="AY123" s="376"/>
    </row>
    <row r="124" spans="51:51">
      <c r="AY124" s="376"/>
    </row>
    <row r="125" spans="51:51">
      <c r="AY125" s="376"/>
    </row>
    <row r="126" spans="51:51">
      <c r="AY126" s="376"/>
    </row>
    <row r="127" spans="51:51">
      <c r="AY127" s="376"/>
    </row>
    <row r="128" spans="51:51">
      <c r="AY128" s="376"/>
    </row>
    <row r="129" spans="51:51">
      <c r="AY129" s="376"/>
    </row>
    <row r="130" spans="51:51">
      <c r="AY130" s="376"/>
    </row>
    <row r="131" spans="51:51">
      <c r="AY131" s="376"/>
    </row>
    <row r="132" spans="51:51">
      <c r="AY132" s="376"/>
    </row>
    <row r="133" spans="51:51">
      <c r="AY133" s="376"/>
    </row>
    <row r="134" spans="51:51">
      <c r="AY134" s="376"/>
    </row>
    <row r="135" spans="51:51">
      <c r="AY135" s="376"/>
    </row>
    <row r="136" spans="51:51">
      <c r="AY136" s="376"/>
    </row>
    <row r="137" spans="51:51">
      <c r="AY137" s="376"/>
    </row>
    <row r="138" spans="51:51">
      <c r="AY138" s="376"/>
    </row>
    <row r="139" spans="51:51">
      <c r="AY139" s="376"/>
    </row>
    <row r="140" spans="51:51">
      <c r="AY140" s="376"/>
    </row>
    <row r="141" spans="51:51">
      <c r="AY141" s="376"/>
    </row>
    <row r="142" spans="51:51">
      <c r="AY142" s="376"/>
    </row>
    <row r="143" spans="51:51">
      <c r="AY143" s="376"/>
    </row>
    <row r="144" spans="51:51">
      <c r="AY144" s="376"/>
    </row>
    <row r="145" spans="51:51">
      <c r="AY145" s="376"/>
    </row>
    <row r="146" spans="51:51">
      <c r="AY146" s="376"/>
    </row>
    <row r="147" spans="51:51">
      <c r="AY147" s="376"/>
    </row>
    <row r="148" spans="51:51">
      <c r="AY148" s="376"/>
    </row>
    <row r="149" spans="51:51">
      <c r="AY149" s="376"/>
    </row>
    <row r="150" spans="51:51">
      <c r="AY150" s="376"/>
    </row>
    <row r="151" spans="51:51">
      <c r="AY151" s="376"/>
    </row>
    <row r="152" spans="51:51">
      <c r="AY152" s="376"/>
    </row>
    <row r="153" spans="51:51">
      <c r="AY153" s="376"/>
    </row>
    <row r="154" spans="51:51">
      <c r="AY154" s="376"/>
    </row>
    <row r="155" spans="51:51">
      <c r="AY155" s="376"/>
    </row>
    <row r="156" spans="51:51">
      <c r="AY156" s="376"/>
    </row>
    <row r="157" spans="51:51">
      <c r="AY157" s="376"/>
    </row>
    <row r="158" spans="51:51">
      <c r="AY158" s="376"/>
    </row>
    <row r="159" spans="51:51">
      <c r="AY159" s="376"/>
    </row>
    <row r="160" spans="51:51">
      <c r="AY160" s="376"/>
    </row>
    <row r="161" spans="51:51">
      <c r="AY161" s="376"/>
    </row>
    <row r="162" spans="51:51">
      <c r="AY162" s="376"/>
    </row>
    <row r="163" spans="51:51">
      <c r="AY163" s="376"/>
    </row>
    <row r="164" spans="51:51">
      <c r="AY164" s="376"/>
    </row>
    <row r="165" spans="51:51">
      <c r="AY165" s="376"/>
    </row>
    <row r="166" spans="51:51">
      <c r="AY166" s="376"/>
    </row>
    <row r="167" spans="51:51">
      <c r="AY167" s="376"/>
    </row>
    <row r="168" spans="51:51">
      <c r="AY168" s="376"/>
    </row>
    <row r="169" spans="51:51">
      <c r="AY169" s="376"/>
    </row>
    <row r="170" spans="51:51">
      <c r="AY170" s="376"/>
    </row>
    <row r="171" spans="51:51">
      <c r="AY171" s="376"/>
    </row>
    <row r="172" spans="51:51">
      <c r="AY172" s="376"/>
    </row>
    <row r="173" spans="51:51">
      <c r="AY173" s="376"/>
    </row>
    <row r="174" spans="51:51">
      <c r="AY174" s="376"/>
    </row>
    <row r="175" spans="51:51">
      <c r="AY175" s="376"/>
    </row>
    <row r="176" spans="51:51">
      <c r="AY176" s="376"/>
    </row>
    <row r="177" spans="51:51">
      <c r="AY177" s="376"/>
    </row>
    <row r="178" spans="51:51">
      <c r="AY178" s="376"/>
    </row>
    <row r="179" spans="51:51">
      <c r="AY179" s="376"/>
    </row>
    <row r="180" spans="51:51">
      <c r="AY180" s="376"/>
    </row>
    <row r="181" spans="51:51">
      <c r="AY181" s="376"/>
    </row>
    <row r="182" spans="51:51">
      <c r="AY182" s="376"/>
    </row>
    <row r="183" spans="51:51">
      <c r="AY183" s="376"/>
    </row>
    <row r="184" spans="51:51">
      <c r="AY184" s="376"/>
    </row>
    <row r="185" spans="51:51">
      <c r="AY185" s="376"/>
    </row>
    <row r="186" spans="51:51">
      <c r="AY186" s="376"/>
    </row>
    <row r="187" spans="51:51">
      <c r="AY187" s="376"/>
    </row>
    <row r="188" spans="51:51">
      <c r="AY188" s="376"/>
    </row>
    <row r="189" spans="51:51">
      <c r="AY189" s="376"/>
    </row>
    <row r="190" spans="51:51">
      <c r="AY190" s="376"/>
    </row>
    <row r="191" spans="51:51">
      <c r="AY191" s="376"/>
    </row>
    <row r="192" spans="51:51">
      <c r="AY192" s="376"/>
    </row>
    <row r="193" spans="51:51">
      <c r="AY193" s="376"/>
    </row>
    <row r="194" spans="51:51">
      <c r="AY194" s="376"/>
    </row>
    <row r="195" spans="51:51">
      <c r="AY195" s="376"/>
    </row>
    <row r="196" spans="51:51">
      <c r="AY196" s="376"/>
    </row>
    <row r="197" spans="51:51">
      <c r="AY197" s="376"/>
    </row>
    <row r="198" spans="51:51">
      <c r="AY198" s="376"/>
    </row>
    <row r="199" spans="51:51">
      <c r="AY199" s="376"/>
    </row>
    <row r="200" spans="51:51">
      <c r="AY200" s="376"/>
    </row>
    <row r="201" spans="51:51">
      <c r="AY201" s="376"/>
    </row>
    <row r="202" spans="51:51">
      <c r="AY202" s="376"/>
    </row>
    <row r="203" spans="51:51">
      <c r="AY203" s="376"/>
    </row>
    <row r="204" spans="51:51">
      <c r="AY204" s="376"/>
    </row>
    <row r="205" spans="51:51">
      <c r="AY205" s="376"/>
    </row>
    <row r="206" spans="51:51">
      <c r="AY206" s="376"/>
    </row>
    <row r="207" spans="51:51">
      <c r="AY207" s="376"/>
    </row>
    <row r="208" spans="51:51">
      <c r="AY208" s="376"/>
    </row>
    <row r="209" spans="51:51">
      <c r="AY209" s="376"/>
    </row>
    <row r="210" spans="51:51">
      <c r="AY210" s="376"/>
    </row>
    <row r="211" spans="51:51">
      <c r="AY211" s="376"/>
    </row>
    <row r="212" spans="51:51">
      <c r="AY212" s="376"/>
    </row>
    <row r="213" spans="51:51">
      <c r="AY213" s="376"/>
    </row>
    <row r="214" spans="51:51">
      <c r="AY214" s="376"/>
    </row>
    <row r="215" spans="51:51">
      <c r="AY215" s="376"/>
    </row>
    <row r="216" spans="51:51">
      <c r="AY216" s="376"/>
    </row>
    <row r="217" spans="51:51">
      <c r="AY217" s="376"/>
    </row>
    <row r="218" spans="51:51">
      <c r="AY218" s="376"/>
    </row>
    <row r="219" spans="51:51">
      <c r="AY219" s="376"/>
    </row>
    <row r="220" spans="51:51">
      <c r="AY220" s="376"/>
    </row>
    <row r="221" spans="51:51">
      <c r="AY221" s="376"/>
    </row>
    <row r="222" spans="51:51">
      <c r="AY222" s="376"/>
    </row>
    <row r="223" spans="51:51">
      <c r="AY223" s="376"/>
    </row>
    <row r="224" spans="51:51">
      <c r="AY224" s="376"/>
    </row>
    <row r="225" spans="51:51">
      <c r="AY225" s="376"/>
    </row>
    <row r="226" spans="51:51">
      <c r="AY226" s="376"/>
    </row>
    <row r="227" spans="51:51">
      <c r="AY227" s="376"/>
    </row>
    <row r="228" spans="51:51">
      <c r="AY228" s="376"/>
    </row>
    <row r="229" spans="51:51">
      <c r="AY229" s="376"/>
    </row>
    <row r="230" spans="51:51">
      <c r="AY230" s="376"/>
    </row>
    <row r="231" spans="51:51">
      <c r="AY231" s="376"/>
    </row>
    <row r="232" spans="51:51">
      <c r="AY232" s="376"/>
    </row>
    <row r="233" spans="51:51">
      <c r="AY233" s="376"/>
    </row>
    <row r="234" spans="51:51">
      <c r="AY234" s="376"/>
    </row>
    <row r="235" spans="51:51">
      <c r="AY235" s="376"/>
    </row>
    <row r="236" spans="51:51">
      <c r="AY236" s="376"/>
    </row>
    <row r="237" spans="51:51">
      <c r="AY237" s="376"/>
    </row>
    <row r="238" spans="51:51">
      <c r="AY238" s="376"/>
    </row>
    <row r="239" spans="51:51">
      <c r="AY239" s="376"/>
    </row>
    <row r="240" spans="51:51">
      <c r="AY240" s="376"/>
    </row>
    <row r="241" spans="51:51">
      <c r="AY241" s="376"/>
    </row>
    <row r="242" spans="51:51">
      <c r="AY242" s="376"/>
    </row>
    <row r="243" spans="51:51">
      <c r="AY243" s="376"/>
    </row>
    <row r="244" spans="51:51">
      <c r="AY244" s="376"/>
    </row>
    <row r="245" spans="51:51">
      <c r="AY245" s="376"/>
    </row>
    <row r="246" spans="51:51">
      <c r="AY246" s="376"/>
    </row>
    <row r="247" spans="51:51">
      <c r="AY247" s="376"/>
    </row>
    <row r="248" spans="51:51">
      <c r="AY248" s="376"/>
    </row>
    <row r="249" spans="51:51">
      <c r="AY249" s="376"/>
    </row>
    <row r="250" spans="51:51">
      <c r="AY250" s="376"/>
    </row>
    <row r="251" spans="51:51">
      <c r="AY251" s="376"/>
    </row>
    <row r="252" spans="51:51">
      <c r="AY252" s="376"/>
    </row>
    <row r="253" spans="51:51">
      <c r="AY253" s="376"/>
    </row>
    <row r="254" spans="51:51">
      <c r="AY254" s="376"/>
    </row>
    <row r="255" spans="51:51">
      <c r="AY255" s="376"/>
    </row>
    <row r="256" spans="51:51">
      <c r="AY256" s="376"/>
    </row>
    <row r="257" spans="51:51">
      <c r="AY257" s="376"/>
    </row>
    <row r="258" spans="51:51">
      <c r="AY258" s="376"/>
    </row>
    <row r="259" spans="51:51">
      <c r="AY259" s="376"/>
    </row>
    <row r="260" spans="51:51">
      <c r="AY260" s="376"/>
    </row>
    <row r="261" spans="51:51">
      <c r="AY261" s="376"/>
    </row>
    <row r="262" spans="51:51">
      <c r="AY262" s="376"/>
    </row>
    <row r="263" spans="51:51">
      <c r="AY263" s="376"/>
    </row>
    <row r="264" spans="51:51">
      <c r="AY264" s="376"/>
    </row>
    <row r="265" spans="51:51">
      <c r="AY265" s="376"/>
    </row>
    <row r="266" spans="51:51">
      <c r="AY266" s="376"/>
    </row>
    <row r="267" spans="51:51">
      <c r="AY267" s="376"/>
    </row>
    <row r="268" spans="51:51">
      <c r="AY268" s="376"/>
    </row>
    <row r="269" spans="51:51">
      <c r="AY269" s="376"/>
    </row>
    <row r="270" spans="51:51">
      <c r="AY270" s="376"/>
    </row>
    <row r="271" spans="51:51">
      <c r="AY271" s="376"/>
    </row>
    <row r="272" spans="51:51">
      <c r="AY272" s="376"/>
    </row>
    <row r="273" spans="51:51">
      <c r="AY273" s="376"/>
    </row>
    <row r="274" spans="51:51">
      <c r="AY274" s="376"/>
    </row>
    <row r="275" spans="51:51">
      <c r="AY275" s="376"/>
    </row>
    <row r="276" spans="51:51">
      <c r="AY276" s="376"/>
    </row>
    <row r="277" spans="51:51">
      <c r="AY277" s="376"/>
    </row>
    <row r="278" spans="51:51">
      <c r="AY278" s="376"/>
    </row>
    <row r="279" spans="51:51">
      <c r="AY279" s="376"/>
    </row>
    <row r="280" spans="51:51">
      <c r="AY280" s="376"/>
    </row>
    <row r="281" spans="51:51">
      <c r="AY281" s="376"/>
    </row>
    <row r="282" spans="51:51">
      <c r="AY282" s="376"/>
    </row>
    <row r="283" spans="51:51">
      <c r="AY283" s="376"/>
    </row>
    <row r="284" spans="51:51">
      <c r="AY284" s="376"/>
    </row>
    <row r="285" spans="51:51">
      <c r="AY285" s="376"/>
    </row>
    <row r="286" spans="51:51">
      <c r="AY286" s="376"/>
    </row>
    <row r="287" spans="51:51">
      <c r="AY287" s="376"/>
    </row>
    <row r="288" spans="51:51">
      <c r="AY288" s="376"/>
    </row>
    <row r="289" spans="51:51">
      <c r="AY289" s="376"/>
    </row>
    <row r="290" spans="51:51">
      <c r="AY290" s="376"/>
    </row>
    <row r="291" spans="51:51">
      <c r="AY291" s="376"/>
    </row>
    <row r="292" spans="51:51">
      <c r="AY292" s="376"/>
    </row>
    <row r="293" spans="51:51">
      <c r="AY293" s="376"/>
    </row>
    <row r="294" spans="51:51">
      <c r="AY294" s="376"/>
    </row>
    <row r="295" spans="51:51">
      <c r="AY295" s="376"/>
    </row>
    <row r="296" spans="51:51">
      <c r="AY296" s="376"/>
    </row>
    <row r="297" spans="51:51">
      <c r="AY297" s="376"/>
    </row>
    <row r="298" spans="51:51">
      <c r="AY298" s="376"/>
    </row>
    <row r="299" spans="51:51">
      <c r="AY299" s="376"/>
    </row>
    <row r="300" spans="51:51">
      <c r="AY300" s="376"/>
    </row>
    <row r="301" spans="51:51">
      <c r="AY301" s="376"/>
    </row>
    <row r="302" spans="51:51">
      <c r="AY302" s="376"/>
    </row>
    <row r="303" spans="51:51">
      <c r="AY303" s="376"/>
    </row>
    <row r="304" spans="51:51">
      <c r="AY304" s="376"/>
    </row>
    <row r="305" spans="51:51">
      <c r="AY305" s="376"/>
    </row>
    <row r="306" spans="51:51">
      <c r="AY306" s="376"/>
    </row>
    <row r="307" spans="51:51">
      <c r="AY307" s="376"/>
    </row>
    <row r="308" spans="51:51">
      <c r="AY308" s="376"/>
    </row>
    <row r="309" spans="51:51">
      <c r="AY309" s="376"/>
    </row>
    <row r="310" spans="51:51">
      <c r="AY310" s="376"/>
    </row>
    <row r="311" spans="51:51">
      <c r="AY311" s="376"/>
    </row>
    <row r="312" spans="51:51">
      <c r="AY312" s="376"/>
    </row>
    <row r="313" spans="51:51">
      <c r="AY313" s="376"/>
    </row>
    <row r="314" spans="51:51">
      <c r="AY314" s="376"/>
    </row>
    <row r="315" spans="51:51">
      <c r="AY315" s="376"/>
    </row>
    <row r="316" spans="51:51">
      <c r="AY316" s="376"/>
    </row>
    <row r="317" spans="51:51">
      <c r="AY317" s="376"/>
    </row>
    <row r="318" spans="51:51">
      <c r="AY318" s="376"/>
    </row>
    <row r="319" spans="51:51">
      <c r="AY319" s="376"/>
    </row>
    <row r="320" spans="51:51">
      <c r="AY320" s="376"/>
    </row>
    <row r="321" spans="51:51">
      <c r="AY321" s="376"/>
    </row>
    <row r="322" spans="51:51">
      <c r="AY322" s="376"/>
    </row>
    <row r="323" spans="51:51">
      <c r="AY323" s="376"/>
    </row>
    <row r="324" spans="51:51">
      <c r="AY324" s="376"/>
    </row>
    <row r="325" spans="51:51">
      <c r="AY325" s="376"/>
    </row>
    <row r="326" spans="51:51">
      <c r="AY326" s="376"/>
    </row>
    <row r="327" spans="51:51">
      <c r="AY327" s="376"/>
    </row>
    <row r="328" spans="51:51">
      <c r="AY328" s="376"/>
    </row>
    <row r="329" spans="51:51">
      <c r="AY329" s="376"/>
    </row>
    <row r="330" spans="51:51">
      <c r="AY330" s="376"/>
    </row>
    <row r="331" spans="51:51">
      <c r="AY331" s="376"/>
    </row>
    <row r="332" spans="51:51">
      <c r="AY332" s="376"/>
    </row>
    <row r="333" spans="51:51">
      <c r="AY333" s="376"/>
    </row>
    <row r="334" spans="51:51">
      <c r="AY334" s="376"/>
    </row>
    <row r="335" spans="51:51">
      <c r="AY335" s="376"/>
    </row>
    <row r="336" spans="51:51">
      <c r="AY336" s="376"/>
    </row>
    <row r="337" spans="51:51">
      <c r="AY337" s="376"/>
    </row>
    <row r="338" spans="51:51">
      <c r="AY338" s="376"/>
    </row>
    <row r="339" spans="51:51">
      <c r="AY339" s="376"/>
    </row>
    <row r="340" spans="51:51">
      <c r="AY340" s="376"/>
    </row>
    <row r="341" spans="51:51">
      <c r="AY341" s="376"/>
    </row>
    <row r="342" spans="51:51">
      <c r="AY342" s="376"/>
    </row>
    <row r="343" spans="51:51">
      <c r="AY343" s="376"/>
    </row>
    <row r="344" spans="51:51">
      <c r="AY344" s="376"/>
    </row>
    <row r="345" spans="51:51">
      <c r="AY345" s="376"/>
    </row>
    <row r="346" spans="51:51">
      <c r="AY346" s="376"/>
    </row>
    <row r="347" spans="51:51">
      <c r="AY347" s="376"/>
    </row>
    <row r="348" spans="51:51">
      <c r="AY348" s="376"/>
    </row>
    <row r="349" spans="51:51">
      <c r="AY349" s="376"/>
    </row>
    <row r="350" spans="51:51">
      <c r="AY350" s="376"/>
    </row>
    <row r="351" spans="51:51">
      <c r="AY351" s="376"/>
    </row>
    <row r="352" spans="51:51">
      <c r="AY352" s="376"/>
    </row>
    <row r="353" spans="51:51">
      <c r="AY353" s="376"/>
    </row>
    <row r="354" spans="51:51">
      <c r="AY354" s="376"/>
    </row>
    <row r="355" spans="51:51">
      <c r="AY355" s="376"/>
    </row>
    <row r="356" spans="51:51">
      <c r="AY356" s="376"/>
    </row>
    <row r="357" spans="51:51">
      <c r="AY357" s="376"/>
    </row>
    <row r="358" spans="51:51">
      <c r="AY358" s="376"/>
    </row>
    <row r="359" spans="51:51">
      <c r="AY359" s="376"/>
    </row>
    <row r="360" spans="51:51">
      <c r="AY360" s="376"/>
    </row>
    <row r="361" spans="51:51">
      <c r="AY361" s="376"/>
    </row>
    <row r="362" spans="51:51">
      <c r="AY362" s="376"/>
    </row>
    <row r="363" spans="51:51">
      <c r="AY363" s="376"/>
    </row>
    <row r="364" spans="51:51">
      <c r="AY364" s="376"/>
    </row>
    <row r="365" spans="51:51">
      <c r="AY365" s="376"/>
    </row>
    <row r="366" spans="51:51">
      <c r="AY366" s="376"/>
    </row>
    <row r="367" spans="51:51">
      <c r="AY367" s="376"/>
    </row>
    <row r="368" spans="51:51">
      <c r="AY368" s="376"/>
    </row>
    <row r="369" spans="51:51">
      <c r="AY369" s="376"/>
    </row>
    <row r="370" spans="51:51">
      <c r="AY370" s="376"/>
    </row>
    <row r="371" spans="51:51">
      <c r="AY371" s="376"/>
    </row>
    <row r="372" spans="51:51">
      <c r="AY372" s="376"/>
    </row>
    <row r="373" spans="51:51">
      <c r="AY373" s="376"/>
    </row>
    <row r="374" spans="51:51">
      <c r="AY374" s="376"/>
    </row>
    <row r="375" spans="51:51">
      <c r="AY375" s="376"/>
    </row>
    <row r="376" spans="51:51">
      <c r="AY376" s="376"/>
    </row>
    <row r="377" spans="51:51">
      <c r="AY377" s="376"/>
    </row>
    <row r="378" spans="51:51">
      <c r="AY378" s="376"/>
    </row>
    <row r="379" spans="51:51">
      <c r="AY379" s="376"/>
    </row>
    <row r="380" spans="51:51">
      <c r="AY380" s="376"/>
    </row>
    <row r="381" spans="51:51">
      <c r="AY381" s="376"/>
    </row>
    <row r="382" spans="51:51">
      <c r="AY382" s="376"/>
    </row>
    <row r="383" spans="51:51">
      <c r="AY383" s="376"/>
    </row>
    <row r="384" spans="51:51">
      <c r="AY384" s="376"/>
    </row>
    <row r="385" spans="51:51">
      <c r="AY385" s="376"/>
    </row>
    <row r="386" spans="51:51">
      <c r="AY386" s="376"/>
    </row>
    <row r="387" spans="51:51">
      <c r="AY387" s="376"/>
    </row>
    <row r="388" spans="51:51">
      <c r="AY388" s="376"/>
    </row>
    <row r="389" spans="51:51">
      <c r="AY389" s="376"/>
    </row>
    <row r="390" spans="51:51">
      <c r="AY390" s="376"/>
    </row>
    <row r="391" spans="51:51">
      <c r="AY391" s="376"/>
    </row>
    <row r="392" spans="51:51">
      <c r="AY392" s="376"/>
    </row>
    <row r="393" spans="51:51">
      <c r="AY393" s="376"/>
    </row>
    <row r="394" spans="51:51">
      <c r="AY394" s="376"/>
    </row>
    <row r="395" spans="51:51">
      <c r="AY395" s="376"/>
    </row>
    <row r="396" spans="51:51">
      <c r="AY396" s="376"/>
    </row>
    <row r="397" spans="51:51">
      <c r="AY397" s="376"/>
    </row>
    <row r="398" spans="51:51">
      <c r="AY398" s="376"/>
    </row>
    <row r="399" spans="51:51">
      <c r="AY399" s="376"/>
    </row>
    <row r="400" spans="51:51">
      <c r="AY400" s="376"/>
    </row>
    <row r="401" spans="51:51">
      <c r="AY401" s="376"/>
    </row>
    <row r="402" spans="51:51">
      <c r="AY402" s="376"/>
    </row>
    <row r="403" spans="51:51">
      <c r="AY403" s="376"/>
    </row>
    <row r="404" spans="51:51">
      <c r="AY404" s="376"/>
    </row>
    <row r="405" spans="51:51">
      <c r="AY405" s="376"/>
    </row>
    <row r="406" spans="51:51">
      <c r="AY406" s="376"/>
    </row>
    <row r="407" spans="51:51">
      <c r="AY407" s="376"/>
    </row>
    <row r="408" spans="51:51">
      <c r="AY408" s="376"/>
    </row>
    <row r="409" spans="51:51">
      <c r="AY409" s="376"/>
    </row>
    <row r="410" spans="51:51">
      <c r="AY410" s="376"/>
    </row>
    <row r="411" spans="51:51">
      <c r="AY411" s="376"/>
    </row>
    <row r="412" spans="51:51">
      <c r="AY412" s="376"/>
    </row>
    <row r="413" spans="51:51">
      <c r="AY413" s="376"/>
    </row>
    <row r="414" spans="51:51">
      <c r="AY414" s="376"/>
    </row>
    <row r="415" spans="51:51">
      <c r="AY415" s="376"/>
    </row>
    <row r="416" spans="51:51">
      <c r="AY416" s="376"/>
    </row>
    <row r="417" spans="51:51">
      <c r="AY417" s="376"/>
    </row>
    <row r="418" spans="51:51">
      <c r="AY418" s="376"/>
    </row>
    <row r="419" spans="51:51">
      <c r="AY419" s="376"/>
    </row>
    <row r="420" spans="51:51">
      <c r="AY420" s="376"/>
    </row>
    <row r="421" spans="51:51">
      <c r="AY421" s="376"/>
    </row>
    <row r="422" spans="51:51">
      <c r="AY422" s="376"/>
    </row>
    <row r="423" spans="51:51">
      <c r="AY423" s="376"/>
    </row>
    <row r="424" spans="51:51">
      <c r="AY424" s="376"/>
    </row>
    <row r="425" spans="51:51">
      <c r="AY425" s="376"/>
    </row>
    <row r="426" spans="51:51">
      <c r="AY426" s="376"/>
    </row>
    <row r="427" spans="51:51">
      <c r="AY427" s="376"/>
    </row>
    <row r="428" spans="51:51">
      <c r="AY428" s="376"/>
    </row>
    <row r="429" spans="51:51">
      <c r="AY429" s="376"/>
    </row>
    <row r="430" spans="51:51">
      <c r="AY430" s="376"/>
    </row>
    <row r="431" spans="51:51">
      <c r="AY431" s="376"/>
    </row>
    <row r="432" spans="51:51">
      <c r="AY432" s="376"/>
    </row>
    <row r="433" spans="51:51">
      <c r="AY433" s="376"/>
    </row>
    <row r="434" spans="51:51">
      <c r="AY434" s="376"/>
    </row>
    <row r="435" spans="51:51">
      <c r="AY435" s="376"/>
    </row>
    <row r="436" spans="51:51">
      <c r="AY436" s="376"/>
    </row>
    <row r="437" spans="51:51">
      <c r="AY437" s="376"/>
    </row>
    <row r="438" spans="51:51">
      <c r="AY438" s="376"/>
    </row>
    <row r="439" spans="51:51">
      <c r="AY439" s="376"/>
    </row>
    <row r="440" spans="51:51">
      <c r="AY440" s="376"/>
    </row>
    <row r="441" spans="51:51">
      <c r="AY441" s="376"/>
    </row>
    <row r="442" spans="51:51">
      <c r="AY442" s="376"/>
    </row>
    <row r="443" spans="51:51">
      <c r="AY443" s="376"/>
    </row>
    <row r="444" spans="51:51">
      <c r="AY444" s="376"/>
    </row>
    <row r="445" spans="51:51">
      <c r="AY445" s="376"/>
    </row>
    <row r="446" spans="51:51">
      <c r="AY446" s="376"/>
    </row>
    <row r="447" spans="51:51">
      <c r="AY447" s="376"/>
    </row>
    <row r="448" spans="51:51">
      <c r="AY448" s="376"/>
    </row>
    <row r="449" spans="51:51">
      <c r="AY449" s="376"/>
    </row>
    <row r="450" spans="51:51">
      <c r="AY450" s="376"/>
    </row>
    <row r="451" spans="51:51">
      <c r="AY451" s="376"/>
    </row>
    <row r="452" spans="51:51">
      <c r="AY452" s="376"/>
    </row>
    <row r="453" spans="51:51">
      <c r="AY453" s="376"/>
    </row>
    <row r="454" spans="51:51">
      <c r="AY454" s="376"/>
    </row>
    <row r="455" spans="51:51">
      <c r="AY455" s="376"/>
    </row>
    <row r="456" spans="51:51">
      <c r="AY456" s="376"/>
    </row>
    <row r="457" spans="51:51">
      <c r="AY457" s="376"/>
    </row>
    <row r="458" spans="51:51">
      <c r="AY458" s="376"/>
    </row>
    <row r="459" spans="51:51">
      <c r="AY459" s="376"/>
    </row>
    <row r="460" spans="51:51">
      <c r="AY460" s="376"/>
    </row>
    <row r="461" spans="51:51">
      <c r="AY461" s="376"/>
    </row>
    <row r="462" spans="51:51">
      <c r="AY462" s="376"/>
    </row>
    <row r="463" spans="51:51">
      <c r="AY463" s="376"/>
    </row>
    <row r="464" spans="51:51">
      <c r="AY464" s="376"/>
    </row>
    <row r="465" spans="51:51">
      <c r="AY465" s="376"/>
    </row>
    <row r="466" spans="51:51">
      <c r="AY466" s="376"/>
    </row>
    <row r="467" spans="51:51">
      <c r="AY467" s="376"/>
    </row>
    <row r="468" spans="51:51">
      <c r="AY468" s="376"/>
    </row>
    <row r="469" spans="51:51">
      <c r="AY469" s="376"/>
    </row>
    <row r="470" spans="51:51">
      <c r="AY470" s="376"/>
    </row>
    <row r="471" spans="51:51">
      <c r="AY471" s="376"/>
    </row>
    <row r="472" spans="51:51">
      <c r="AY472" s="376"/>
    </row>
    <row r="473" spans="51:51">
      <c r="AY473" s="376"/>
    </row>
    <row r="474" spans="51:51">
      <c r="AY474" s="376"/>
    </row>
    <row r="475" spans="51:51">
      <c r="AY475" s="376"/>
    </row>
    <row r="476" spans="51:51">
      <c r="AY476" s="376"/>
    </row>
    <row r="477" spans="51:51">
      <c r="AY477" s="376"/>
    </row>
    <row r="478" spans="51:51">
      <c r="AY478" s="376"/>
    </row>
    <row r="479" spans="51:51">
      <c r="AY479" s="376"/>
    </row>
    <row r="480" spans="51:51">
      <c r="AY480" s="376"/>
    </row>
    <row r="481" spans="51:51">
      <c r="AY481" s="376"/>
    </row>
    <row r="482" spans="51:51">
      <c r="AY482" s="376"/>
    </row>
    <row r="483" spans="51:51">
      <c r="AY483" s="376"/>
    </row>
    <row r="484" spans="51:51">
      <c r="AY484" s="376"/>
    </row>
    <row r="485" spans="51:51">
      <c r="AY485" s="376"/>
    </row>
    <row r="486" spans="51:51">
      <c r="AY486" s="376"/>
    </row>
    <row r="487" spans="51:51">
      <c r="AY487" s="376"/>
    </row>
    <row r="488" spans="51:51">
      <c r="AY488" s="376"/>
    </row>
    <row r="489" spans="51:51">
      <c r="AY489" s="376"/>
    </row>
    <row r="490" spans="51:51">
      <c r="AY490" s="376"/>
    </row>
    <row r="491" spans="51:51">
      <c r="AY491" s="376"/>
    </row>
    <row r="492" spans="51:51">
      <c r="AY492" s="376"/>
    </row>
    <row r="493" spans="51:51">
      <c r="AY493" s="376"/>
    </row>
    <row r="494" spans="51:51">
      <c r="AY494" s="376"/>
    </row>
    <row r="495" spans="51:51">
      <c r="AY495" s="376"/>
    </row>
    <row r="496" spans="51:51">
      <c r="AY496" s="376"/>
    </row>
    <row r="497" spans="51:51">
      <c r="AY497" s="376"/>
    </row>
    <row r="498" spans="51:51">
      <c r="AY498" s="376"/>
    </row>
    <row r="499" spans="51:51">
      <c r="AY499" s="376"/>
    </row>
    <row r="500" spans="51:51">
      <c r="AY500" s="376"/>
    </row>
    <row r="501" spans="51:51">
      <c r="AY501" s="376"/>
    </row>
    <row r="502" spans="51:51">
      <c r="AY502" s="376"/>
    </row>
    <row r="503" spans="51:51">
      <c r="AY503" s="376"/>
    </row>
    <row r="504" spans="51:51">
      <c r="AY504" s="376"/>
    </row>
    <row r="505" spans="51:51">
      <c r="AY505" s="376"/>
    </row>
    <row r="506" spans="51:51">
      <c r="AY506" s="376"/>
    </row>
    <row r="507" spans="51:51">
      <c r="AY507" s="376"/>
    </row>
    <row r="508" spans="51:51">
      <c r="AY508" s="376"/>
    </row>
    <row r="509" spans="51:51">
      <c r="AY509" s="376"/>
    </row>
    <row r="510" spans="51:51">
      <c r="AY510" s="376"/>
    </row>
    <row r="511" spans="51:51">
      <c r="AY511" s="376"/>
    </row>
    <row r="512" spans="51:51">
      <c r="AY512" s="376"/>
    </row>
    <row r="513" spans="51:51">
      <c r="AY513" s="376"/>
    </row>
    <row r="514" spans="51:51">
      <c r="AY514" s="376"/>
    </row>
    <row r="515" spans="51:51">
      <c r="AY515" s="376"/>
    </row>
    <row r="516" spans="51:51">
      <c r="AY516" s="376"/>
    </row>
    <row r="517" spans="51:51">
      <c r="AY517" s="376"/>
    </row>
    <row r="518" spans="51:51">
      <c r="AY518" s="376"/>
    </row>
    <row r="519" spans="51:51">
      <c r="AY519" s="376"/>
    </row>
    <row r="520" spans="51:51">
      <c r="AY520" s="376"/>
    </row>
    <row r="521" spans="51:51">
      <c r="AY521" s="376"/>
    </row>
    <row r="522" spans="51:51">
      <c r="AY522" s="376"/>
    </row>
    <row r="523" spans="51:51">
      <c r="AY523" s="376"/>
    </row>
    <row r="524" spans="51:51">
      <c r="AY524" s="376"/>
    </row>
    <row r="525" spans="51:51">
      <c r="AY525" s="376"/>
    </row>
    <row r="526" spans="51:51">
      <c r="AY526" s="376"/>
    </row>
    <row r="527" spans="51:51">
      <c r="AY527" s="376"/>
    </row>
    <row r="528" spans="51:51">
      <c r="AY528" s="376"/>
    </row>
    <row r="529" spans="51:51">
      <c r="AY529" s="376"/>
    </row>
    <row r="530" spans="51:51">
      <c r="AY530" s="376"/>
    </row>
    <row r="531" spans="51:51">
      <c r="AY531" s="376"/>
    </row>
    <row r="532" spans="51:51">
      <c r="AY532" s="376"/>
    </row>
    <row r="533" spans="51:51">
      <c r="AY533" s="376"/>
    </row>
    <row r="534" spans="51:51">
      <c r="AY534" s="376"/>
    </row>
    <row r="535" spans="51:51">
      <c r="AY535" s="376"/>
    </row>
    <row r="536" spans="51:51">
      <c r="AY536" s="376"/>
    </row>
    <row r="537" spans="51:51">
      <c r="AY537" s="376"/>
    </row>
    <row r="538" spans="51:51">
      <c r="AY538" s="376"/>
    </row>
    <row r="539" spans="51:51">
      <c r="AY539" s="376"/>
    </row>
    <row r="540" spans="51:51">
      <c r="AY540" s="376"/>
    </row>
    <row r="541" spans="51:51">
      <c r="AY541" s="376"/>
    </row>
    <row r="542" spans="51:51">
      <c r="AY542" s="376"/>
    </row>
    <row r="543" spans="51:51">
      <c r="AY543" s="376"/>
    </row>
    <row r="544" spans="51:51">
      <c r="AY544" s="376"/>
    </row>
    <row r="545" spans="40:51">
      <c r="AN545" s="379"/>
      <c r="AO545" s="379"/>
      <c r="AP545" s="379"/>
      <c r="AQ545" s="379"/>
      <c r="AR545" s="379"/>
      <c r="AS545" s="379"/>
      <c r="AT545" s="379"/>
      <c r="AU545" s="379"/>
      <c r="AV545" s="379"/>
      <c r="AW545" s="379"/>
      <c r="AY545" s="376"/>
    </row>
    <row r="546" spans="40:51">
      <c r="AN546" s="379"/>
      <c r="AO546" s="379"/>
      <c r="AP546" s="379"/>
      <c r="AQ546" s="379"/>
      <c r="AR546" s="379"/>
      <c r="AS546" s="379"/>
      <c r="AT546" s="379"/>
      <c r="AU546" s="379"/>
      <c r="AV546" s="379"/>
      <c r="AW546" s="379"/>
      <c r="AY546" s="376"/>
    </row>
    <row r="547" spans="40:51">
      <c r="AN547" s="379"/>
      <c r="AO547" s="379"/>
      <c r="AP547" s="379"/>
      <c r="AQ547" s="379"/>
      <c r="AR547" s="379"/>
      <c r="AS547" s="379"/>
      <c r="AT547" s="379"/>
      <c r="AU547" s="379"/>
      <c r="AV547" s="379"/>
      <c r="AW547" s="379"/>
      <c r="AY547" s="376"/>
    </row>
    <row r="548" spans="40:51">
      <c r="AN548" s="379"/>
      <c r="AO548" s="379"/>
      <c r="AP548" s="379"/>
      <c r="AQ548" s="379"/>
      <c r="AR548" s="379"/>
      <c r="AS548" s="379"/>
      <c r="AT548" s="379"/>
      <c r="AU548" s="379"/>
      <c r="AV548" s="379"/>
      <c r="AW548" s="379"/>
      <c r="AY548" s="376"/>
    </row>
    <row r="549" spans="40:51">
      <c r="AN549" s="379"/>
      <c r="AO549" s="379"/>
      <c r="AP549" s="379"/>
      <c r="AQ549" s="379"/>
      <c r="AR549" s="379"/>
      <c r="AS549" s="379"/>
      <c r="AT549" s="379"/>
      <c r="AU549" s="379"/>
      <c r="AV549" s="379"/>
      <c r="AW549" s="379"/>
      <c r="AY549" s="376"/>
    </row>
    <row r="550" spans="40:51">
      <c r="AN550" s="379"/>
      <c r="AO550" s="379"/>
      <c r="AP550" s="379"/>
      <c r="AQ550" s="379"/>
      <c r="AR550" s="379"/>
      <c r="AS550" s="379"/>
      <c r="AT550" s="379"/>
      <c r="AU550" s="379"/>
      <c r="AV550" s="379"/>
      <c r="AW550" s="379"/>
      <c r="AY550" s="376"/>
    </row>
    <row r="551" spans="40:51">
      <c r="AN551" s="379"/>
      <c r="AO551" s="379"/>
      <c r="AP551" s="379"/>
      <c r="AQ551" s="379"/>
      <c r="AR551" s="379"/>
      <c r="AS551" s="379"/>
      <c r="AT551" s="379"/>
      <c r="AU551" s="379"/>
      <c r="AV551" s="379"/>
      <c r="AW551" s="379"/>
      <c r="AY551" s="376"/>
    </row>
    <row r="552" spans="40:51">
      <c r="AN552" s="379"/>
      <c r="AO552" s="379"/>
      <c r="AP552" s="379"/>
      <c r="AQ552" s="379"/>
      <c r="AR552" s="379"/>
      <c r="AS552" s="379"/>
      <c r="AT552" s="379"/>
      <c r="AU552" s="379"/>
      <c r="AV552" s="379"/>
      <c r="AW552" s="379"/>
      <c r="AY552" s="376"/>
    </row>
    <row r="553" spans="40:51">
      <c r="AN553" s="379"/>
      <c r="AO553" s="379"/>
      <c r="AP553" s="379"/>
      <c r="AQ553" s="379"/>
      <c r="AR553" s="379"/>
      <c r="AS553" s="379"/>
      <c r="AT553" s="379"/>
      <c r="AU553" s="379"/>
      <c r="AV553" s="379"/>
      <c r="AW553" s="379"/>
      <c r="AY553" s="376"/>
    </row>
    <row r="554" spans="40:51">
      <c r="AN554" s="379"/>
      <c r="AO554" s="379"/>
      <c r="AP554" s="379"/>
      <c r="AQ554" s="379"/>
      <c r="AR554" s="379"/>
      <c r="AS554" s="379"/>
      <c r="AT554" s="379"/>
      <c r="AU554" s="379"/>
      <c r="AV554" s="379"/>
      <c r="AW554" s="379"/>
      <c r="AY554" s="376"/>
    </row>
    <row r="555" spans="40:51">
      <c r="AN555" s="379"/>
      <c r="AO555" s="379"/>
      <c r="AP555" s="379"/>
      <c r="AQ555" s="379"/>
      <c r="AR555" s="379"/>
      <c r="AS555" s="379"/>
      <c r="AT555" s="379"/>
      <c r="AU555" s="379"/>
      <c r="AV555" s="379"/>
      <c r="AW555" s="379"/>
      <c r="AY555" s="376"/>
    </row>
    <row r="556" spans="40:51">
      <c r="AN556" s="379"/>
      <c r="AO556" s="379"/>
      <c r="AP556" s="379"/>
      <c r="AQ556" s="379"/>
      <c r="AR556" s="379"/>
      <c r="AS556" s="379"/>
      <c r="AT556" s="379"/>
      <c r="AU556" s="379"/>
      <c r="AV556" s="379"/>
      <c r="AW556" s="379"/>
      <c r="AY556" s="376"/>
    </row>
    <row r="557" spans="40:51">
      <c r="AN557" s="379"/>
      <c r="AO557" s="379"/>
      <c r="AP557" s="379"/>
      <c r="AQ557" s="379"/>
      <c r="AR557" s="379"/>
      <c r="AS557" s="379"/>
      <c r="AT557" s="379"/>
      <c r="AU557" s="379"/>
      <c r="AV557" s="379"/>
      <c r="AW557" s="379"/>
      <c r="AY557" s="376"/>
    </row>
    <row r="558" spans="40:51">
      <c r="AN558" s="379"/>
      <c r="AO558" s="379"/>
      <c r="AP558" s="379"/>
      <c r="AQ558" s="379"/>
      <c r="AR558" s="379"/>
      <c r="AS558" s="379"/>
      <c r="AT558" s="379"/>
      <c r="AU558" s="379"/>
      <c r="AV558" s="379"/>
      <c r="AW558" s="379"/>
      <c r="AY558" s="376"/>
    </row>
    <row r="559" spans="40:51">
      <c r="AN559" s="379"/>
      <c r="AO559" s="379"/>
      <c r="AP559" s="379"/>
      <c r="AQ559" s="379"/>
      <c r="AR559" s="379"/>
      <c r="AS559" s="379"/>
      <c r="AT559" s="379"/>
      <c r="AU559" s="379"/>
      <c r="AV559" s="379"/>
      <c r="AW559" s="379"/>
      <c r="AY559" s="376"/>
    </row>
    <row r="560" spans="40:51">
      <c r="AN560" s="379"/>
      <c r="AO560" s="379"/>
      <c r="AP560" s="379"/>
      <c r="AQ560" s="379"/>
      <c r="AR560" s="379"/>
      <c r="AS560" s="379"/>
      <c r="AT560" s="379"/>
      <c r="AU560" s="379"/>
      <c r="AV560" s="379"/>
      <c r="AW560" s="379"/>
      <c r="AY560" s="376"/>
    </row>
    <row r="561" spans="40:63">
      <c r="AN561" s="379"/>
      <c r="AO561" s="379"/>
      <c r="AP561" s="379"/>
      <c r="AQ561" s="379"/>
      <c r="AR561" s="379"/>
      <c r="AS561" s="379"/>
      <c r="AT561" s="379"/>
      <c r="AU561" s="379"/>
      <c r="AV561" s="379"/>
      <c r="AW561" s="379"/>
      <c r="AY561" s="376"/>
    </row>
    <row r="562" spans="40:63">
      <c r="AN562" s="379"/>
      <c r="AO562" s="379"/>
      <c r="AP562" s="379"/>
      <c r="AQ562" s="379"/>
      <c r="AR562" s="379"/>
      <c r="AS562" s="379"/>
      <c r="AT562" s="379"/>
      <c r="AU562" s="379"/>
      <c r="AV562" s="379"/>
      <c r="AW562" s="379"/>
      <c r="AY562" s="376"/>
    </row>
    <row r="563" spans="40:63">
      <c r="AN563" s="379"/>
      <c r="AO563" s="379"/>
      <c r="AP563" s="379"/>
      <c r="AQ563" s="379"/>
      <c r="AR563" s="379"/>
      <c r="AS563" s="379"/>
      <c r="AT563" s="379"/>
      <c r="AU563" s="379"/>
      <c r="AV563" s="379"/>
      <c r="AW563" s="379"/>
      <c r="AY563" s="376"/>
    </row>
    <row r="564" spans="40:63">
      <c r="AN564" s="379"/>
      <c r="AO564" s="379"/>
      <c r="AP564" s="379"/>
      <c r="AQ564" s="379"/>
      <c r="AR564" s="379"/>
      <c r="AS564" s="379"/>
      <c r="AT564" s="379"/>
      <c r="AU564" s="379"/>
      <c r="AV564" s="379"/>
      <c r="AW564" s="379"/>
      <c r="AY564" s="376"/>
      <c r="AZ564" s="376"/>
      <c r="BA564" s="376"/>
      <c r="BB564" s="380"/>
      <c r="BD564" s="376"/>
      <c r="BE564" s="376"/>
      <c r="BF564" s="376"/>
      <c r="BG564" s="380"/>
      <c r="BH564" s="380"/>
      <c r="BI564" s="380"/>
      <c r="BJ564" s="380"/>
      <c r="BK564" s="380"/>
    </row>
    <row r="565" spans="40:63">
      <c r="AR565" s="376"/>
      <c r="AS565" s="376"/>
      <c r="AT565" s="380"/>
      <c r="AU565" s="380"/>
      <c r="AV565" s="380"/>
      <c r="AW565" s="380"/>
      <c r="AY565" s="376"/>
      <c r="AZ565" s="376"/>
      <c r="BA565" s="376"/>
      <c r="BB565" s="380"/>
      <c r="BD565" s="376"/>
      <c r="BE565" s="376"/>
      <c r="BF565" s="376"/>
      <c r="BG565" s="380"/>
      <c r="BH565" s="380"/>
      <c r="BI565" s="380"/>
      <c r="BJ565" s="380"/>
      <c r="BK565" s="380"/>
    </row>
    <row r="566" spans="40:63">
      <c r="AR566" s="376"/>
      <c r="AS566" s="376"/>
      <c r="AT566" s="380"/>
      <c r="AU566" s="380"/>
      <c r="AV566" s="380"/>
      <c r="AW566" s="380"/>
      <c r="AY566" s="376"/>
      <c r="AZ566" s="376"/>
      <c r="BA566" s="376"/>
      <c r="BB566" s="380"/>
      <c r="BD566" s="376"/>
      <c r="BE566" s="376"/>
      <c r="BF566" s="376"/>
      <c r="BG566" s="380"/>
      <c r="BH566" s="380"/>
      <c r="BI566" s="380"/>
      <c r="BJ566" s="380"/>
      <c r="BK566" s="380"/>
    </row>
    <row r="567" spans="40:63">
      <c r="AR567" s="376"/>
      <c r="AS567" s="376"/>
      <c r="AT567" s="380"/>
      <c r="AU567" s="380"/>
      <c r="AV567" s="380"/>
      <c r="AW567" s="380"/>
      <c r="AY567" s="376"/>
      <c r="AZ567" s="376"/>
      <c r="BA567" s="376"/>
      <c r="BB567" s="380"/>
      <c r="BD567" s="376"/>
      <c r="BE567" s="376"/>
      <c r="BF567" s="376"/>
      <c r="BG567" s="380"/>
      <c r="BH567" s="380"/>
      <c r="BI567" s="380"/>
      <c r="BJ567" s="380"/>
      <c r="BK567" s="380"/>
    </row>
    <row r="568" spans="40:63">
      <c r="AR568" s="376"/>
      <c r="AS568" s="376"/>
      <c r="AT568" s="380"/>
      <c r="AU568" s="380"/>
      <c r="AV568" s="380"/>
      <c r="AW568" s="380"/>
      <c r="AY568" s="376"/>
      <c r="AZ568" s="376"/>
      <c r="BA568" s="376"/>
      <c r="BB568" s="380"/>
      <c r="BD568" s="376"/>
      <c r="BE568" s="376"/>
      <c r="BF568" s="376"/>
      <c r="BG568" s="380"/>
      <c r="BH568" s="380"/>
      <c r="BI568" s="380"/>
      <c r="BJ568" s="380"/>
      <c r="BK568" s="380"/>
    </row>
    <row r="569" spans="40:63">
      <c r="AR569" s="376"/>
      <c r="AS569" s="376"/>
      <c r="AT569" s="380"/>
      <c r="AU569" s="380"/>
      <c r="AV569" s="380"/>
      <c r="AW569" s="380"/>
      <c r="AY569" s="376"/>
      <c r="AZ569" s="376"/>
      <c r="BA569" s="376"/>
      <c r="BB569" s="380"/>
      <c r="BD569" s="376"/>
      <c r="BE569" s="376"/>
      <c r="BF569" s="376"/>
      <c r="BG569" s="380"/>
      <c r="BH569" s="380"/>
      <c r="BI569" s="380"/>
      <c r="BJ569" s="380"/>
      <c r="BK569" s="380"/>
    </row>
    <row r="570" spans="40:63">
      <c r="AR570" s="376"/>
      <c r="AS570" s="376"/>
      <c r="AT570" s="380"/>
      <c r="AU570" s="380"/>
      <c r="AV570" s="380"/>
      <c r="AW570" s="380"/>
      <c r="AY570" s="376"/>
      <c r="AZ570" s="376"/>
      <c r="BA570" s="376"/>
      <c r="BB570" s="380"/>
      <c r="BD570" s="376"/>
      <c r="BE570" s="376"/>
      <c r="BF570" s="376"/>
      <c r="BG570" s="380"/>
      <c r="BH570" s="380"/>
      <c r="BI570" s="380"/>
      <c r="BJ570" s="380"/>
      <c r="BK570" s="380"/>
    </row>
    <row r="571" spans="40:63">
      <c r="AR571" s="376"/>
      <c r="AS571" s="376"/>
      <c r="AT571" s="380"/>
      <c r="AU571" s="380"/>
      <c r="AV571" s="380"/>
      <c r="AW571" s="380"/>
      <c r="AY571" s="376"/>
      <c r="AZ571" s="376"/>
      <c r="BA571" s="376"/>
      <c r="BB571" s="380"/>
      <c r="BD571" s="376"/>
      <c r="BE571" s="376"/>
      <c r="BF571" s="376"/>
      <c r="BG571" s="380"/>
      <c r="BH571" s="380"/>
      <c r="BI571" s="380"/>
      <c r="BJ571" s="380"/>
      <c r="BK571" s="380"/>
    </row>
    <row r="572" spans="40:63">
      <c r="AR572" s="376"/>
      <c r="AS572" s="376"/>
      <c r="AT572" s="380"/>
      <c r="AU572" s="380"/>
      <c r="AV572" s="380"/>
      <c r="AW572" s="380"/>
      <c r="AY572" s="376"/>
      <c r="AZ572" s="376"/>
      <c r="BA572" s="376"/>
      <c r="BB572" s="380"/>
      <c r="BD572" s="376"/>
      <c r="BE572" s="376"/>
      <c r="BF572" s="376"/>
      <c r="BG572" s="380"/>
      <c r="BH572" s="380"/>
      <c r="BI572" s="380"/>
      <c r="BJ572" s="380"/>
      <c r="BK572" s="380"/>
    </row>
    <row r="573" spans="40:63">
      <c r="AR573" s="376"/>
      <c r="AS573" s="376"/>
      <c r="AT573" s="380"/>
      <c r="AU573" s="380"/>
      <c r="AV573" s="380"/>
      <c r="AW573" s="380"/>
      <c r="AY573" s="376"/>
      <c r="AZ573" s="376"/>
      <c r="BA573" s="376"/>
      <c r="BB573" s="380"/>
      <c r="BD573" s="376"/>
      <c r="BE573" s="376"/>
      <c r="BF573" s="376"/>
      <c r="BG573" s="380"/>
      <c r="BH573" s="380"/>
      <c r="BI573" s="380"/>
      <c r="BJ573" s="380"/>
      <c r="BK573" s="380"/>
    </row>
    <row r="574" spans="40:63">
      <c r="AR574" s="376"/>
      <c r="AS574" s="376"/>
      <c r="AT574" s="380"/>
      <c r="AU574" s="380"/>
      <c r="AV574" s="380"/>
      <c r="AW574" s="380"/>
      <c r="AY574" s="376"/>
      <c r="AZ574" s="376"/>
      <c r="BA574" s="376"/>
      <c r="BB574" s="380"/>
      <c r="BD574" s="376"/>
      <c r="BE574" s="376"/>
      <c r="BF574" s="376"/>
      <c r="BG574" s="380"/>
      <c r="BH574" s="380"/>
      <c r="BI574" s="380"/>
      <c r="BJ574" s="380"/>
      <c r="BK574" s="380"/>
    </row>
  </sheetData>
  <sheetProtection password="EB90" sheet="1" objects="1" scenarios="1"/>
  <mergeCells count="13">
    <mergeCell ref="AD13:AJ14"/>
    <mergeCell ref="B18:H19"/>
    <mergeCell ref="B1:H1"/>
    <mergeCell ref="B2:H2"/>
    <mergeCell ref="B4:H4"/>
    <mergeCell ref="B6:H6"/>
    <mergeCell ref="B7:H7"/>
    <mergeCell ref="B11:H11"/>
    <mergeCell ref="G24:H24"/>
    <mergeCell ref="B72:H72"/>
    <mergeCell ref="B29:H29"/>
    <mergeCell ref="B41:C41"/>
    <mergeCell ref="B42:C42"/>
  </mergeCells>
  <dataValidations disablePrompts="1" count="4">
    <dataValidation type="whole" operator="greaterThanOrEqual" allowBlank="1" showErrorMessage="1" error="Please enter a whole number that is greater than or equal to zero." sqref="C13:AB13">
      <formula1>0</formula1>
    </dataValidation>
    <dataValidation type="decimal" operator="greaterThan" allowBlank="1" showErrorMessage="1" error="This value must be greater than 25,000 gallons/month" sqref="E21">
      <formula1>25000</formula1>
    </dataValidation>
    <dataValidation type="whole" operator="greaterThan" allowBlank="1" showErrorMessage="1" error="Please enter a whole number greater than zero." sqref="E9">
      <formula1>0</formula1>
    </dataValidation>
    <dataValidation type="decimal" operator="greaterThanOrEqual" allowBlank="1" showErrorMessage="1" error="Please enter a value greater than or equal to zero." sqref="E25">
      <formula1>0</formula1>
    </dataValidation>
  </dataValidations>
  <pageMargins left="0" right="0" top="1" bottom="1" header="0.5" footer="0.5"/>
  <pageSetup paperSize="17" scale="57" orientation="landscape" horizontalDpi="300" verticalDpi="30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34"/>
  <sheetViews>
    <sheetView workbookViewId="0"/>
  </sheetViews>
  <sheetFormatPr defaultRowHeight="12.75"/>
  <cols>
    <col min="1" max="3" width="36.7109375" customWidth="1"/>
  </cols>
  <sheetData>
    <row r="1" spans="1:16">
      <c r="A1" s="4" t="s">
        <v>99</v>
      </c>
    </row>
    <row r="2" spans="1:16">
      <c r="P2" t="e">
        <f ca="1">_xll.CB.RecalcCounterFN()</f>
        <v>#NAME?</v>
      </c>
    </row>
    <row r="3" spans="1:16">
      <c r="A3" t="s">
        <v>100</v>
      </c>
      <c r="B3" t="s">
        <v>101</v>
      </c>
      <c r="C3">
        <v>0</v>
      </c>
    </row>
    <row r="4" spans="1:16">
      <c r="A4" t="s">
        <v>102</v>
      </c>
    </row>
    <row r="5" spans="1:16">
      <c r="A5" t="s">
        <v>103</v>
      </c>
    </row>
    <row r="7" spans="1:16">
      <c r="A7" s="4" t="s">
        <v>104</v>
      </c>
      <c r="B7" t="s">
        <v>105</v>
      </c>
    </row>
    <row r="8" spans="1:16">
      <c r="B8">
        <v>3</v>
      </c>
    </row>
    <row r="10" spans="1:16">
      <c r="A10" t="s">
        <v>106</v>
      </c>
    </row>
    <row r="11" spans="1:16">
      <c r="A11" t="e">
        <f>CB_DATA_!#REF!</f>
        <v>#REF!</v>
      </c>
      <c r="B11" t="e">
        <f>'Revenues from COMPARATIVE Rates'!#REF!</f>
        <v>#REF!</v>
      </c>
      <c r="C11" t="e">
        <f>'Significant Decline in Use'!#REF!</f>
        <v>#REF!</v>
      </c>
    </row>
    <row r="13" spans="1:16">
      <c r="A13" t="s">
        <v>107</v>
      </c>
    </row>
    <row r="14" spans="1:16">
      <c r="A14" t="s">
        <v>111</v>
      </c>
      <c r="B14" s="6" t="s">
        <v>115</v>
      </c>
      <c r="C14" t="s">
        <v>190</v>
      </c>
    </row>
    <row r="16" spans="1:16">
      <c r="A16" t="s">
        <v>108</v>
      </c>
    </row>
    <row r="19" spans="1:3">
      <c r="A19" t="s">
        <v>109</v>
      </c>
    </row>
    <row r="20" spans="1:3">
      <c r="A20">
        <v>34</v>
      </c>
      <c r="B20">
        <v>26</v>
      </c>
      <c r="C20">
        <v>26</v>
      </c>
    </row>
    <row r="25" spans="1:3">
      <c r="A25" s="4" t="s">
        <v>110</v>
      </c>
    </row>
    <row r="26" spans="1:3">
      <c r="A26" s="5" t="s">
        <v>112</v>
      </c>
    </row>
    <row r="27" spans="1:3">
      <c r="A27" t="s">
        <v>113</v>
      </c>
    </row>
    <row r="28" spans="1:3">
      <c r="A28" s="5" t="s">
        <v>114</v>
      </c>
    </row>
    <row r="29" spans="1:3">
      <c r="A29" s="5" t="s">
        <v>116</v>
      </c>
    </row>
    <row r="30" spans="1:3">
      <c r="A30" t="s">
        <v>226</v>
      </c>
    </row>
    <row r="31" spans="1:3">
      <c r="A31" s="5" t="s">
        <v>114</v>
      </c>
    </row>
    <row r="32" spans="1:3">
      <c r="A32" s="5" t="s">
        <v>189</v>
      </c>
    </row>
    <row r="33" spans="1:1">
      <c r="A33" t="s">
        <v>227</v>
      </c>
    </row>
    <row r="34" spans="1:1">
      <c r="A34" s="5" t="s">
        <v>117</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K651"/>
  <sheetViews>
    <sheetView zoomScaleNormal="100" zoomScalePageLayoutView="90" workbookViewId="0">
      <pane ySplit="2" topLeftCell="A3" activePane="bottomLeft" state="frozen"/>
      <selection pane="bottomLeft" activeCell="A3" sqref="A3"/>
    </sheetView>
  </sheetViews>
  <sheetFormatPr defaultColWidth="9.140625" defaultRowHeight="12.75"/>
  <cols>
    <col min="1" max="1" width="15.140625" style="118" customWidth="1"/>
    <col min="2" max="2" width="60.140625" style="118" customWidth="1"/>
    <col min="3" max="6" width="14.85546875" style="118" customWidth="1"/>
    <col min="7" max="8" width="14.85546875" style="125" customWidth="1"/>
    <col min="9" max="29" width="14.85546875" style="118" customWidth="1"/>
    <col min="30" max="33" width="14.42578125" style="118" customWidth="1"/>
    <col min="34" max="37" width="14.140625" style="118" customWidth="1"/>
    <col min="38" max="43" width="9.140625" style="118"/>
    <col min="44" max="46" width="11.140625" style="118" bestFit="1" customWidth="1"/>
    <col min="47" max="49" width="12.140625" style="118" bestFit="1" customWidth="1"/>
    <col min="50" max="16384" width="9.140625" style="118"/>
  </cols>
  <sheetData>
    <row r="1" spans="2:51" s="230" customFormat="1" ht="36.75" customHeight="1">
      <c r="B1" s="1021" t="s">
        <v>377</v>
      </c>
      <c r="C1" s="1021"/>
      <c r="D1" s="1021"/>
      <c r="E1" s="1021"/>
      <c r="F1" s="1021"/>
      <c r="G1" s="1021"/>
      <c r="H1" s="1021"/>
      <c r="I1" s="381"/>
      <c r="K1" s="228"/>
      <c r="L1" s="228"/>
      <c r="M1" s="229"/>
      <c r="N1" s="229"/>
      <c r="O1" s="229"/>
      <c r="P1" s="229"/>
      <c r="Q1" s="229"/>
      <c r="R1" s="229"/>
      <c r="S1" s="229"/>
      <c r="T1" s="229"/>
      <c r="U1" s="229"/>
      <c r="V1" s="229"/>
      <c r="W1" s="229"/>
      <c r="X1" s="229"/>
      <c r="Y1" s="229"/>
      <c r="Z1" s="229"/>
      <c r="AA1" s="229"/>
      <c r="AB1" s="229"/>
      <c r="AC1" s="229"/>
      <c r="AD1" s="229"/>
    </row>
    <row r="2" spans="2:51" s="312" customFormat="1" ht="36.75" customHeight="1">
      <c r="B2" s="998" t="s">
        <v>396</v>
      </c>
      <c r="C2" s="998"/>
      <c r="D2" s="998"/>
      <c r="E2" s="998"/>
      <c r="F2" s="998"/>
      <c r="G2" s="998"/>
      <c r="H2" s="998"/>
      <c r="K2" s="310"/>
      <c r="L2" s="311"/>
      <c r="M2" s="311"/>
      <c r="N2" s="311"/>
      <c r="O2" s="311"/>
      <c r="P2" s="311"/>
      <c r="Q2" s="311"/>
      <c r="R2" s="311"/>
      <c r="S2" s="311"/>
      <c r="T2" s="311"/>
      <c r="U2" s="311"/>
      <c r="V2" s="311"/>
      <c r="W2" s="311"/>
      <c r="X2" s="311"/>
      <c r="Y2" s="311"/>
      <c r="Z2" s="311"/>
      <c r="AA2" s="311"/>
      <c r="AB2" s="311"/>
      <c r="AC2" s="311"/>
      <c r="AD2" s="311"/>
    </row>
    <row r="3" spans="2:51" s="312" customFormat="1" ht="13.5" thickBot="1">
      <c r="B3" s="538"/>
      <c r="C3" s="538"/>
      <c r="D3" s="538"/>
      <c r="E3" s="538"/>
      <c r="F3" s="538"/>
      <c r="G3" s="538"/>
      <c r="H3" s="538"/>
      <c r="K3" s="539"/>
      <c r="L3" s="311"/>
      <c r="M3" s="311"/>
      <c r="N3" s="311"/>
      <c r="O3" s="311"/>
      <c r="P3" s="311"/>
      <c r="Q3" s="311"/>
      <c r="R3" s="311"/>
      <c r="S3" s="311"/>
      <c r="T3" s="311"/>
      <c r="U3" s="311"/>
      <c r="V3" s="311"/>
      <c r="W3" s="311"/>
      <c r="X3" s="311"/>
      <c r="Y3" s="311"/>
      <c r="Z3" s="311"/>
      <c r="AA3" s="311"/>
      <c r="AB3" s="311"/>
      <c r="AC3" s="311"/>
      <c r="AD3" s="311"/>
    </row>
    <row r="4" spans="2:51" ht="54" customHeight="1" thickBot="1">
      <c r="B4" s="1046" t="s">
        <v>443</v>
      </c>
      <c r="C4" s="1047"/>
      <c r="D4" s="1047"/>
      <c r="E4" s="1047"/>
      <c r="F4" s="1047"/>
      <c r="G4" s="1047"/>
      <c r="H4" s="1048"/>
    </row>
    <row r="5" spans="2:51" ht="14.25">
      <c r="B5" s="497" t="str">
        <f>IF('Input COMPARATIVE Rates'!$C$6=Callouts!$N$2,"Note: Based on user selection in the 'Input COMPARATIVE Rates' tab, COMPARATIVE rates are IDENTICAL to the REFERENCE rates.","")</f>
        <v/>
      </c>
    </row>
    <row r="6" spans="2:51" ht="13.5" thickBot="1">
      <c r="B6" s="123"/>
    </row>
    <row r="7" spans="2:51" hidden="1">
      <c r="B7" s="375" t="s">
        <v>4</v>
      </c>
      <c r="C7" s="382">
        <v>0</v>
      </c>
      <c r="D7" s="383">
        <v>1000</v>
      </c>
      <c r="E7" s="383">
        <v>2000</v>
      </c>
      <c r="F7" s="383">
        <v>3000</v>
      </c>
      <c r="G7" s="383">
        <v>4000</v>
      </c>
      <c r="H7" s="383">
        <v>5000</v>
      </c>
      <c r="I7" s="383">
        <v>6000</v>
      </c>
      <c r="J7" s="383">
        <v>7000</v>
      </c>
      <c r="K7" s="383">
        <v>8000</v>
      </c>
      <c r="L7" s="383">
        <v>9000</v>
      </c>
      <c r="M7" s="383">
        <v>10000</v>
      </c>
      <c r="N7" s="383">
        <v>11000</v>
      </c>
      <c r="O7" s="383">
        <v>12000</v>
      </c>
      <c r="P7" s="383">
        <v>13000</v>
      </c>
      <c r="Q7" s="383">
        <v>14000</v>
      </c>
      <c r="R7" s="383">
        <v>15000</v>
      </c>
      <c r="S7" s="383">
        <v>16000</v>
      </c>
      <c r="T7" s="383">
        <v>17000</v>
      </c>
      <c r="U7" s="383">
        <v>18000</v>
      </c>
      <c r="V7" s="383">
        <v>19000</v>
      </c>
      <c r="W7" s="383">
        <v>20000</v>
      </c>
      <c r="X7" s="383">
        <v>21000</v>
      </c>
      <c r="Y7" s="383">
        <v>22000</v>
      </c>
      <c r="Z7" s="383">
        <v>23000</v>
      </c>
      <c r="AA7" s="383">
        <v>24000</v>
      </c>
      <c r="AB7" s="383">
        <v>25000</v>
      </c>
      <c r="AC7" s="383" t="s">
        <v>42</v>
      </c>
    </row>
    <row r="8" spans="2:51" hidden="1">
      <c r="B8" s="384" t="s">
        <v>307</v>
      </c>
      <c r="C8" s="385">
        <f t="array" ref="C8:AB8">TRANSPOSE('Input COMPARATIVE Rates'!F55:F80)</f>
        <v>8</v>
      </c>
      <c r="D8" s="385">
        <v>9.5</v>
      </c>
      <c r="E8" s="385">
        <v>11</v>
      </c>
      <c r="F8" s="385">
        <v>13.5</v>
      </c>
      <c r="G8" s="385">
        <v>16</v>
      </c>
      <c r="H8" s="385">
        <v>18.5</v>
      </c>
      <c r="I8" s="385">
        <v>21</v>
      </c>
      <c r="J8" s="385">
        <v>23.5</v>
      </c>
      <c r="K8" s="385">
        <v>26</v>
      </c>
      <c r="L8" s="385">
        <v>28.5</v>
      </c>
      <c r="M8" s="385">
        <v>31</v>
      </c>
      <c r="N8" s="385">
        <v>33.5</v>
      </c>
      <c r="O8" s="385">
        <v>36</v>
      </c>
      <c r="P8" s="385">
        <v>38.5</v>
      </c>
      <c r="Q8" s="385">
        <v>41</v>
      </c>
      <c r="R8" s="385">
        <v>43.5</v>
      </c>
      <c r="S8" s="385">
        <v>46</v>
      </c>
      <c r="T8" s="385">
        <v>48.5</v>
      </c>
      <c r="U8" s="385">
        <v>51</v>
      </c>
      <c r="V8" s="385">
        <v>53.5</v>
      </c>
      <c r="W8" s="385">
        <v>56</v>
      </c>
      <c r="X8" s="385">
        <v>58.5</v>
      </c>
      <c r="Y8" s="385">
        <v>61</v>
      </c>
      <c r="Z8" s="385">
        <v>63.5</v>
      </c>
      <c r="AA8" s="385">
        <v>66</v>
      </c>
      <c r="AB8" s="385">
        <v>68.5</v>
      </c>
      <c r="AC8" s="385">
        <f>IF('Input COMPARATIVE Rates'!$C$6=Callouts!$N$2,'Revenues from REFERENCE Rates'!AC35,'Input COMPARATIVE Rates'!S50)</f>
        <v>74.144999999999996</v>
      </c>
      <c r="AD8" s="118" t="str">
        <f>"&lt;-- at "&amp;IF('Input COMPARATIVE Rates'!$C$6=Callouts!$N$2,AE17,AE37)&amp;" gallons/month"</f>
        <v>&lt;-- at 27258 gallons/month</v>
      </c>
    </row>
    <row r="9" spans="2:51" hidden="1">
      <c r="B9" s="375" t="s">
        <v>68</v>
      </c>
      <c r="C9" s="386">
        <f>(C8-'Revenues from REFERENCE Rates'!C35)/'Revenues from REFERENCE Rates'!C35</f>
        <v>0.6</v>
      </c>
      <c r="D9" s="386">
        <f>(D8-'Revenues from REFERENCE Rates'!D35)/'Revenues from REFERENCE Rates'!D35</f>
        <v>0.26666666666666666</v>
      </c>
      <c r="E9" s="386">
        <f>(E8-'Revenues from REFERENCE Rates'!E35)/'Revenues from REFERENCE Rates'!E35</f>
        <v>0.1</v>
      </c>
      <c r="F9" s="386">
        <f>(F8-'Revenues from REFERENCE Rates'!F35)/'Revenues from REFERENCE Rates'!F35</f>
        <v>0.08</v>
      </c>
      <c r="G9" s="386">
        <f>(G8-'Revenues from REFERENCE Rates'!G35)/'Revenues from REFERENCE Rates'!G35</f>
        <v>6.6666666666666666E-2</v>
      </c>
      <c r="H9" s="386">
        <f>(H8-'Revenues from REFERENCE Rates'!H35)/'Revenues from REFERENCE Rates'!H35</f>
        <v>5.7142857142857141E-2</v>
      </c>
      <c r="I9" s="386">
        <f>(I8-'Revenues from REFERENCE Rates'!I35)/'Revenues from REFERENCE Rates'!I35</f>
        <v>0.05</v>
      </c>
      <c r="J9" s="386">
        <f>(J8-'Revenues from REFERENCE Rates'!J35)/'Revenues from REFERENCE Rates'!J35</f>
        <v>4.4444444444444446E-2</v>
      </c>
      <c r="K9" s="386">
        <f>(K8-'Revenues from REFERENCE Rates'!K35)/'Revenues from REFERENCE Rates'!K35</f>
        <v>0.04</v>
      </c>
      <c r="L9" s="386">
        <f>(L8-'Revenues from REFERENCE Rates'!L35)/'Revenues from REFERENCE Rates'!L35</f>
        <v>3.6363636363636362E-2</v>
      </c>
      <c r="M9" s="386">
        <f>(M8-'Revenues from REFERENCE Rates'!M35)/'Revenues from REFERENCE Rates'!M35</f>
        <v>3.3333333333333333E-2</v>
      </c>
      <c r="N9" s="386">
        <f>(N8-'Revenues from REFERENCE Rates'!N35)/'Revenues from REFERENCE Rates'!N35</f>
        <v>3.0769230769230771E-2</v>
      </c>
      <c r="O9" s="386">
        <f>(O8-'Revenues from REFERENCE Rates'!O35)/'Revenues from REFERENCE Rates'!O35</f>
        <v>2.8571428571428571E-2</v>
      </c>
      <c r="P9" s="386">
        <f>(P8-'Revenues from REFERENCE Rates'!P35)/'Revenues from REFERENCE Rates'!P35</f>
        <v>2.6666666666666668E-2</v>
      </c>
      <c r="Q9" s="386">
        <f>(Q8-'Revenues from REFERENCE Rates'!Q35)/'Revenues from REFERENCE Rates'!Q35</f>
        <v>2.5000000000000001E-2</v>
      </c>
      <c r="R9" s="386">
        <f>(R8-'Revenues from REFERENCE Rates'!R35)/'Revenues from REFERENCE Rates'!R35</f>
        <v>2.3529411764705882E-2</v>
      </c>
      <c r="S9" s="386">
        <f>(S8-'Revenues from REFERENCE Rates'!S35)/'Revenues from REFERENCE Rates'!S35</f>
        <v>2.2222222222222223E-2</v>
      </c>
      <c r="T9" s="386">
        <f>(T8-'Revenues from REFERENCE Rates'!T35)/'Revenues from REFERENCE Rates'!T35</f>
        <v>2.1052631578947368E-2</v>
      </c>
      <c r="U9" s="386">
        <f>(U8-'Revenues from REFERENCE Rates'!U35)/'Revenues from REFERENCE Rates'!U35</f>
        <v>0.02</v>
      </c>
      <c r="V9" s="386">
        <f>(V8-'Revenues from REFERENCE Rates'!V35)/'Revenues from REFERENCE Rates'!V35</f>
        <v>1.9047619047619049E-2</v>
      </c>
      <c r="W9" s="386">
        <f>(W8-'Revenues from REFERENCE Rates'!W35)/'Revenues from REFERENCE Rates'!W35</f>
        <v>1.8181818181818181E-2</v>
      </c>
      <c r="X9" s="386">
        <f>(X8-'Revenues from REFERENCE Rates'!X35)/'Revenues from REFERENCE Rates'!X35</f>
        <v>1.7391304347826087E-2</v>
      </c>
      <c r="Y9" s="386">
        <f>(Y8-'Revenues from REFERENCE Rates'!Y35)/'Revenues from REFERENCE Rates'!Y35</f>
        <v>1.6666666666666666E-2</v>
      </c>
      <c r="Z9" s="386">
        <f>(Z8-'Revenues from REFERENCE Rates'!Z35)/'Revenues from REFERENCE Rates'!Z35</f>
        <v>1.6E-2</v>
      </c>
      <c r="AA9" s="386">
        <f>(AA8-'Revenues from REFERENCE Rates'!AA35)/'Revenues from REFERENCE Rates'!AA35</f>
        <v>1.5384615384615385E-2</v>
      </c>
      <c r="AB9" s="386">
        <f>(AB8-'Revenues from REFERENCE Rates'!AB35)/'Revenues from REFERENCE Rates'!AB35</f>
        <v>1.4814814814814815E-2</v>
      </c>
      <c r="AC9" s="386">
        <f>(C12-'Revenues from REFERENCE Rates'!E26)/'Revenues from REFERENCE Rates'!E26</f>
        <v>1.3559322033898305E-2</v>
      </c>
    </row>
    <row r="10" spans="2:51" hidden="1">
      <c r="B10" s="123"/>
    </row>
    <row r="11" spans="2:51" hidden="1">
      <c r="B11" s="127" t="s">
        <v>97</v>
      </c>
      <c r="C11" s="387">
        <f>'Revenues from REFERENCE Rates'!E21</f>
        <v>27500</v>
      </c>
      <c r="E11" s="127"/>
      <c r="F11" s="127"/>
      <c r="J11" s="125"/>
      <c r="K11" s="125"/>
      <c r="M11" s="125"/>
      <c r="N11" s="125"/>
      <c r="P11" s="125"/>
      <c r="Q11" s="125"/>
      <c r="S11" s="125"/>
    </row>
    <row r="12" spans="2:51" hidden="1">
      <c r="B12" s="127" t="s">
        <v>98</v>
      </c>
      <c r="C12" s="388">
        <f>'Input COMPARATIVE Rates'!S49</f>
        <v>74.75</v>
      </c>
      <c r="D12" s="359"/>
      <c r="E12" s="359"/>
      <c r="F12" s="359"/>
      <c r="G12" s="360"/>
      <c r="H12" s="360"/>
      <c r="I12" s="360"/>
      <c r="J12" s="360"/>
      <c r="K12" s="360"/>
      <c r="L12" s="360"/>
      <c r="M12" s="360"/>
      <c r="N12" s="360"/>
      <c r="O12" s="360"/>
      <c r="P12" s="360"/>
      <c r="Q12" s="360"/>
      <c r="R12" s="360"/>
      <c r="S12" s="360"/>
      <c r="T12" s="360"/>
      <c r="U12" s="360"/>
      <c r="V12" s="360"/>
      <c r="W12" s="360"/>
    </row>
    <row r="13" spans="2:51" s="371" customFormat="1" hidden="1">
      <c r="G13" s="378"/>
      <c r="H13" s="378"/>
      <c r="AY13" s="372"/>
    </row>
    <row r="14" spans="2:51" s="337" customFormat="1" hidden="1">
      <c r="B14" s="389"/>
      <c r="G14" s="390"/>
      <c r="H14" s="390"/>
    </row>
    <row r="15" spans="2:51" s="127" customFormat="1" hidden="1">
      <c r="B15" s="391" t="s">
        <v>60</v>
      </c>
      <c r="C15" s="127">
        <v>0</v>
      </c>
      <c r="D15" s="127">
        <f>C17+1</f>
        <v>1</v>
      </c>
      <c r="E15" s="127">
        <f t="shared" ref="E15:AC15" si="0">D17+1</f>
        <v>1001</v>
      </c>
      <c r="F15" s="127">
        <f t="shared" si="0"/>
        <v>2001</v>
      </c>
      <c r="G15" s="127">
        <f t="shared" si="0"/>
        <v>3001</v>
      </c>
      <c r="H15" s="127">
        <f t="shared" si="0"/>
        <v>4001</v>
      </c>
      <c r="I15" s="127">
        <f t="shared" si="0"/>
        <v>5001</v>
      </c>
      <c r="J15" s="127">
        <f t="shared" si="0"/>
        <v>6001</v>
      </c>
      <c r="K15" s="127">
        <f t="shared" si="0"/>
        <v>7001</v>
      </c>
      <c r="L15" s="127">
        <f t="shared" si="0"/>
        <v>8001</v>
      </c>
      <c r="M15" s="127">
        <f t="shared" si="0"/>
        <v>9001</v>
      </c>
      <c r="N15" s="127">
        <f t="shared" si="0"/>
        <v>10001</v>
      </c>
      <c r="O15" s="127">
        <f t="shared" si="0"/>
        <v>11001</v>
      </c>
      <c r="P15" s="127">
        <f t="shared" si="0"/>
        <v>12001</v>
      </c>
      <c r="Q15" s="127">
        <f t="shared" si="0"/>
        <v>13001</v>
      </c>
      <c r="R15" s="127">
        <f t="shared" si="0"/>
        <v>14001</v>
      </c>
      <c r="S15" s="127">
        <f t="shared" si="0"/>
        <v>15001</v>
      </c>
      <c r="T15" s="127">
        <f t="shared" si="0"/>
        <v>16001</v>
      </c>
      <c r="U15" s="127">
        <f t="shared" si="0"/>
        <v>17001</v>
      </c>
      <c r="V15" s="127">
        <f t="shared" si="0"/>
        <v>18001</v>
      </c>
      <c r="W15" s="127">
        <f t="shared" si="0"/>
        <v>19001</v>
      </c>
      <c r="X15" s="127">
        <f t="shared" si="0"/>
        <v>20001</v>
      </c>
      <c r="Y15" s="127">
        <f t="shared" si="0"/>
        <v>21001</v>
      </c>
      <c r="Z15" s="127">
        <f t="shared" si="0"/>
        <v>22001</v>
      </c>
      <c r="AA15" s="127">
        <f t="shared" si="0"/>
        <v>23001</v>
      </c>
      <c r="AB15" s="127">
        <f t="shared" si="0"/>
        <v>24001</v>
      </c>
      <c r="AC15" s="127">
        <f t="shared" si="0"/>
        <v>25001</v>
      </c>
    </row>
    <row r="16" spans="2:51" s="127" customFormat="1" hidden="1">
      <c r="B16" s="391" t="s">
        <v>61</v>
      </c>
      <c r="C16" s="127" t="s">
        <v>59</v>
      </c>
      <c r="D16" s="127" t="s">
        <v>59</v>
      </c>
      <c r="E16" s="127" t="s">
        <v>59</v>
      </c>
      <c r="F16" s="127" t="s">
        <v>59</v>
      </c>
      <c r="G16" s="127" t="s">
        <v>59</v>
      </c>
      <c r="H16" s="127" t="s">
        <v>59</v>
      </c>
      <c r="I16" s="127" t="s">
        <v>59</v>
      </c>
      <c r="J16" s="127" t="s">
        <v>59</v>
      </c>
      <c r="K16" s="127" t="s">
        <v>59</v>
      </c>
      <c r="L16" s="127" t="s">
        <v>59</v>
      </c>
      <c r="M16" s="127" t="s">
        <v>59</v>
      </c>
      <c r="N16" s="127" t="s">
        <v>59</v>
      </c>
      <c r="O16" s="127" t="s">
        <v>59</v>
      </c>
      <c r="P16" s="127" t="s">
        <v>59</v>
      </c>
      <c r="Q16" s="127" t="s">
        <v>59</v>
      </c>
      <c r="R16" s="127" t="s">
        <v>59</v>
      </c>
      <c r="S16" s="127" t="s">
        <v>59</v>
      </c>
      <c r="T16" s="127" t="s">
        <v>59</v>
      </c>
      <c r="U16" s="127" t="s">
        <v>59</v>
      </c>
      <c r="V16" s="127" t="s">
        <v>59</v>
      </c>
      <c r="W16" s="127" t="s">
        <v>59</v>
      </c>
      <c r="X16" s="127" t="s">
        <v>59</v>
      </c>
      <c r="Y16" s="127" t="s">
        <v>59</v>
      </c>
      <c r="Z16" s="127" t="s">
        <v>59</v>
      </c>
      <c r="AA16" s="127" t="s">
        <v>59</v>
      </c>
      <c r="AB16" s="127" t="s">
        <v>59</v>
      </c>
      <c r="AC16" s="127" t="s">
        <v>59</v>
      </c>
      <c r="AE16" s="127" t="s">
        <v>269</v>
      </c>
    </row>
    <row r="17" spans="2:31" hidden="1">
      <c r="C17" s="382">
        <v>0</v>
      </c>
      <c r="D17" s="383">
        <v>1000</v>
      </c>
      <c r="E17" s="383">
        <v>2000</v>
      </c>
      <c r="F17" s="383">
        <v>3000</v>
      </c>
      <c r="G17" s="383">
        <v>4000</v>
      </c>
      <c r="H17" s="383">
        <v>5000</v>
      </c>
      <c r="I17" s="383">
        <v>6000</v>
      </c>
      <c r="J17" s="383">
        <v>7000</v>
      </c>
      <c r="K17" s="383">
        <v>8000</v>
      </c>
      <c r="L17" s="383">
        <v>9000</v>
      </c>
      <c r="M17" s="383">
        <v>10000</v>
      </c>
      <c r="N17" s="383">
        <v>11000</v>
      </c>
      <c r="O17" s="383">
        <v>12000</v>
      </c>
      <c r="P17" s="383">
        <v>13000</v>
      </c>
      <c r="Q17" s="383">
        <v>14000</v>
      </c>
      <c r="R17" s="383">
        <v>15000</v>
      </c>
      <c r="S17" s="383">
        <v>16000</v>
      </c>
      <c r="T17" s="383">
        <v>17000</v>
      </c>
      <c r="U17" s="383">
        <v>18000</v>
      </c>
      <c r="V17" s="383">
        <v>19000</v>
      </c>
      <c r="W17" s="383">
        <v>20000</v>
      </c>
      <c r="X17" s="383">
        <v>21000</v>
      </c>
      <c r="Y17" s="383">
        <v>22000</v>
      </c>
      <c r="Z17" s="383">
        <v>23000</v>
      </c>
      <c r="AA17" s="383">
        <v>24000</v>
      </c>
      <c r="AB17" s="383">
        <v>25000</v>
      </c>
      <c r="AC17" s="383">
        <f>AE17*2</f>
        <v>55000</v>
      </c>
      <c r="AE17" s="383">
        <f>'Revenues from REFERENCE Rates'!E21</f>
        <v>27500</v>
      </c>
    </row>
    <row r="18" spans="2:31" hidden="1">
      <c r="B18" s="123" t="s">
        <v>44</v>
      </c>
      <c r="C18" s="127">
        <f>'Revenues from REFERENCE Rates'!C13</f>
        <v>67031</v>
      </c>
      <c r="D18" s="127">
        <f>'Revenues from REFERENCE Rates'!D13</f>
        <v>83054</v>
      </c>
      <c r="E18" s="127">
        <f>'Revenues from REFERENCE Rates'!E13</f>
        <v>118438</v>
      </c>
      <c r="F18" s="127">
        <f>'Revenues from REFERENCE Rates'!F13</f>
        <v>120115</v>
      </c>
      <c r="G18" s="127">
        <f>'Revenues from REFERENCE Rates'!G13</f>
        <v>113142</v>
      </c>
      <c r="H18" s="127">
        <f>'Revenues from REFERENCE Rates'!H13</f>
        <v>86693</v>
      </c>
      <c r="I18" s="127">
        <f>'Revenues from REFERENCE Rates'!I13</f>
        <v>68013</v>
      </c>
      <c r="J18" s="127">
        <f>'Revenues from REFERENCE Rates'!J13</f>
        <v>45087</v>
      </c>
      <c r="K18" s="127">
        <f>'Revenues from REFERENCE Rates'!K13</f>
        <v>35919</v>
      </c>
      <c r="L18" s="127">
        <f>'Revenues from REFERENCE Rates'!L13</f>
        <v>22345</v>
      </c>
      <c r="M18" s="127">
        <f>'Revenues from REFERENCE Rates'!M13</f>
        <v>19870</v>
      </c>
      <c r="N18" s="127">
        <f>'Revenues from REFERENCE Rates'!N13</f>
        <v>11813</v>
      </c>
      <c r="O18" s="127">
        <f>'Revenues from REFERENCE Rates'!O13</f>
        <v>11811</v>
      </c>
      <c r="P18" s="127">
        <f>'Revenues from REFERENCE Rates'!P13</f>
        <v>7075</v>
      </c>
      <c r="Q18" s="127">
        <f>'Revenues from REFERENCE Rates'!Q13</f>
        <v>7533</v>
      </c>
      <c r="R18" s="127">
        <f>'Revenues from REFERENCE Rates'!R13</f>
        <v>4641</v>
      </c>
      <c r="S18" s="127">
        <f>'Revenues from REFERENCE Rates'!S13</f>
        <v>5223</v>
      </c>
      <c r="T18" s="127">
        <f>'Revenues from REFERENCE Rates'!T13</f>
        <v>3328</v>
      </c>
      <c r="U18" s="127">
        <f>'Revenues from REFERENCE Rates'!U13</f>
        <v>3865</v>
      </c>
      <c r="V18" s="127">
        <f>'Revenues from REFERENCE Rates'!V13</f>
        <v>2460</v>
      </c>
      <c r="W18" s="127">
        <f>'Revenues from REFERENCE Rates'!W13</f>
        <v>2956</v>
      </c>
      <c r="X18" s="127">
        <f>'Revenues from REFERENCE Rates'!X13</f>
        <v>2754</v>
      </c>
      <c r="Y18" s="127">
        <f>'Revenues from REFERENCE Rates'!Y13</f>
        <v>2653</v>
      </c>
      <c r="Z18" s="127">
        <f>'Revenues from REFERENCE Rates'!Z13</f>
        <v>2521</v>
      </c>
      <c r="AA18" s="127">
        <f>'Revenues from REFERENCE Rates'!AA13</f>
        <v>2321</v>
      </c>
      <c r="AB18" s="127">
        <f>'Revenues from REFERENCE Rates'!AB13</f>
        <v>1987</v>
      </c>
      <c r="AC18" s="127">
        <f>'Revenues from REFERENCE Rates'!AC13</f>
        <v>11754</v>
      </c>
    </row>
    <row r="19" spans="2:31" hidden="1">
      <c r="B19" s="123" t="s">
        <v>67</v>
      </c>
      <c r="C19" s="127">
        <f>C18</f>
        <v>67031</v>
      </c>
      <c r="D19" s="127">
        <f>D18+C19</f>
        <v>150085</v>
      </c>
      <c r="E19" s="127">
        <f t="shared" ref="E19:AC19" si="1">E18+D19</f>
        <v>268523</v>
      </c>
      <c r="F19" s="127">
        <f t="shared" si="1"/>
        <v>388638</v>
      </c>
      <c r="G19" s="127">
        <f t="shared" si="1"/>
        <v>501780</v>
      </c>
      <c r="H19" s="127">
        <f t="shared" si="1"/>
        <v>588473</v>
      </c>
      <c r="I19" s="127">
        <f t="shared" si="1"/>
        <v>656486</v>
      </c>
      <c r="J19" s="127">
        <f t="shared" si="1"/>
        <v>701573</v>
      </c>
      <c r="K19" s="127">
        <f t="shared" si="1"/>
        <v>737492</v>
      </c>
      <c r="L19" s="127">
        <f t="shared" si="1"/>
        <v>759837</v>
      </c>
      <c r="M19" s="127">
        <f t="shared" si="1"/>
        <v>779707</v>
      </c>
      <c r="N19" s="127">
        <f t="shared" si="1"/>
        <v>791520</v>
      </c>
      <c r="O19" s="127">
        <f t="shared" si="1"/>
        <v>803331</v>
      </c>
      <c r="P19" s="127">
        <f t="shared" si="1"/>
        <v>810406</v>
      </c>
      <c r="Q19" s="127">
        <f t="shared" si="1"/>
        <v>817939</v>
      </c>
      <c r="R19" s="127">
        <f t="shared" si="1"/>
        <v>822580</v>
      </c>
      <c r="S19" s="127">
        <f t="shared" si="1"/>
        <v>827803</v>
      </c>
      <c r="T19" s="127">
        <f t="shared" si="1"/>
        <v>831131</v>
      </c>
      <c r="U19" s="127">
        <f t="shared" si="1"/>
        <v>834996</v>
      </c>
      <c r="V19" s="127">
        <f t="shared" si="1"/>
        <v>837456</v>
      </c>
      <c r="W19" s="127">
        <f t="shared" si="1"/>
        <v>840412</v>
      </c>
      <c r="X19" s="127">
        <f t="shared" si="1"/>
        <v>843166</v>
      </c>
      <c r="Y19" s="127">
        <f t="shared" si="1"/>
        <v>845819</v>
      </c>
      <c r="Z19" s="127">
        <f t="shared" si="1"/>
        <v>848340</v>
      </c>
      <c r="AA19" s="127">
        <f t="shared" si="1"/>
        <v>850661</v>
      </c>
      <c r="AB19" s="127">
        <f t="shared" si="1"/>
        <v>852648</v>
      </c>
      <c r="AC19" s="127">
        <f t="shared" si="1"/>
        <v>864402</v>
      </c>
    </row>
    <row r="20" spans="2:31" hidden="1">
      <c r="B20" s="123" t="s">
        <v>46</v>
      </c>
      <c r="C20" s="392">
        <f>'Revenues from REFERENCE Rates'!E9</f>
        <v>864402</v>
      </c>
      <c r="D20" s="382"/>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row>
    <row r="21" spans="2:31" ht="13.5" hidden="1" thickBot="1">
      <c r="B21" s="123"/>
      <c r="C21" s="392"/>
      <c r="D21" s="38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row>
    <row r="22" spans="2:31" ht="27" customHeight="1">
      <c r="B22" s="525" t="s">
        <v>444</v>
      </c>
      <c r="C22" s="739"/>
      <c r="D22" s="740"/>
      <c r="E22" s="740"/>
      <c r="F22" s="740"/>
      <c r="G22" s="740"/>
      <c r="H22" s="741"/>
      <c r="I22" s="382"/>
      <c r="J22" s="382"/>
      <c r="K22" s="382"/>
      <c r="L22" s="382"/>
      <c r="M22" s="382"/>
      <c r="N22" s="382"/>
      <c r="O22" s="382"/>
      <c r="P22" s="382"/>
      <c r="Q22" s="382"/>
      <c r="R22" s="382"/>
      <c r="S22" s="382"/>
      <c r="T22" s="382"/>
      <c r="U22" s="382"/>
      <c r="V22" s="382"/>
      <c r="W22" s="382"/>
      <c r="X22" s="382"/>
      <c r="Y22" s="382"/>
      <c r="Z22" s="382"/>
      <c r="AA22" s="382"/>
      <c r="AB22" s="382"/>
      <c r="AC22" s="382"/>
    </row>
    <row r="23" spans="2:31" ht="78.75" customHeight="1">
      <c r="B23" s="1018" t="s">
        <v>452</v>
      </c>
      <c r="C23" s="1019"/>
      <c r="D23" s="1019"/>
      <c r="E23" s="1019"/>
      <c r="F23" s="1019"/>
      <c r="G23" s="1019"/>
      <c r="H23" s="1020"/>
      <c r="I23" s="382"/>
      <c r="J23" s="382"/>
      <c r="K23" s="382"/>
      <c r="L23" s="382"/>
      <c r="M23" s="382"/>
      <c r="N23" s="382"/>
      <c r="O23" s="382"/>
      <c r="P23" s="382"/>
      <c r="Q23" s="382"/>
      <c r="R23" s="382"/>
      <c r="S23" s="382"/>
      <c r="T23" s="382"/>
      <c r="U23" s="382"/>
      <c r="V23" s="382"/>
      <c r="W23" s="382"/>
      <c r="X23" s="382"/>
      <c r="Y23" s="382"/>
      <c r="Z23" s="382"/>
      <c r="AA23" s="382"/>
      <c r="AB23" s="382"/>
      <c r="AC23" s="382"/>
    </row>
    <row r="24" spans="2:31">
      <c r="B24" s="1040"/>
      <c r="C24" s="1041"/>
      <c r="D24" s="1041"/>
      <c r="E24" s="1041"/>
      <c r="F24" s="1041"/>
      <c r="G24" s="1041"/>
      <c r="H24" s="742"/>
      <c r="I24" s="382"/>
      <c r="J24" s="382"/>
      <c r="K24" s="382"/>
      <c r="L24" s="382"/>
      <c r="M24" s="382"/>
      <c r="N24" s="382"/>
      <c r="O24" s="382"/>
      <c r="P24" s="382"/>
      <c r="Q24" s="382"/>
      <c r="R24" s="382"/>
      <c r="S24" s="382"/>
      <c r="T24" s="382"/>
      <c r="U24" s="382"/>
      <c r="V24" s="382"/>
      <c r="W24" s="382"/>
      <c r="X24" s="382"/>
      <c r="Y24" s="382"/>
      <c r="Z24" s="382"/>
      <c r="AA24" s="382"/>
      <c r="AB24" s="382"/>
      <c r="AC24" s="382"/>
    </row>
    <row r="25" spans="2:31" s="357" customFormat="1" ht="20.25" customHeight="1">
      <c r="B25" s="1042" t="s">
        <v>446</v>
      </c>
      <c r="C25" s="1043"/>
      <c r="D25" s="1043"/>
      <c r="E25" s="1043"/>
      <c r="F25" s="1043"/>
      <c r="G25" s="1043"/>
      <c r="H25" s="743"/>
      <c r="I25" s="393"/>
      <c r="J25" s="393"/>
      <c r="K25" s="393"/>
      <c r="L25" s="393"/>
      <c r="M25" s="393"/>
      <c r="N25" s="393"/>
      <c r="O25" s="393"/>
      <c r="P25" s="393"/>
      <c r="Q25" s="393"/>
      <c r="R25" s="393"/>
      <c r="S25" s="393"/>
      <c r="T25" s="393"/>
      <c r="U25" s="393"/>
      <c r="V25" s="393"/>
      <c r="W25" s="393"/>
      <c r="X25" s="393"/>
      <c r="Y25" s="393"/>
      <c r="Z25" s="393"/>
      <c r="AA25" s="393"/>
      <c r="AB25" s="393"/>
      <c r="AC25" s="393"/>
    </row>
    <row r="26" spans="2:31" ht="16.5" customHeight="1" thickBot="1">
      <c r="B26" s="1052" t="s">
        <v>308</v>
      </c>
      <c r="C26" s="1053"/>
      <c r="D26" s="1053"/>
      <c r="E26" s="1053"/>
      <c r="F26" s="1053"/>
      <c r="G26" s="1053"/>
      <c r="H26" s="1054"/>
      <c r="I26" s="382"/>
      <c r="J26" s="382"/>
      <c r="K26" s="382"/>
      <c r="L26" s="382"/>
      <c r="M26" s="382"/>
      <c r="N26" s="382"/>
      <c r="O26" s="382"/>
      <c r="P26" s="382"/>
      <c r="Q26" s="382"/>
      <c r="R26" s="382"/>
      <c r="S26" s="382"/>
      <c r="T26" s="382"/>
      <c r="U26" s="382"/>
      <c r="V26" s="382"/>
      <c r="W26" s="382"/>
      <c r="X26" s="382"/>
      <c r="Y26" s="382"/>
      <c r="Z26" s="382"/>
      <c r="AA26" s="382"/>
      <c r="AB26" s="382"/>
      <c r="AC26" s="382"/>
    </row>
    <row r="27" spans="2:31" s="130" customFormat="1" ht="24.75" customHeight="1">
      <c r="B27" s="736" t="str">
        <f>'Revenues from REFERENCE Rates'!B12</f>
        <v>Gallons/month:</v>
      </c>
      <c r="C27" s="737">
        <f>'Revenues from REFERENCE Rates'!C12</f>
        <v>0</v>
      </c>
      <c r="D27" s="737" t="str">
        <f>'Revenues from REFERENCE Rates'!D12</f>
        <v>1 - 1000</v>
      </c>
      <c r="E27" s="737" t="str">
        <f>'Revenues from REFERENCE Rates'!E12</f>
        <v>1001 - 2000</v>
      </c>
      <c r="F27" s="737" t="str">
        <f>'Revenues from REFERENCE Rates'!F12</f>
        <v>2001 - 3000</v>
      </c>
      <c r="G27" s="737" t="str">
        <f>'Revenues from REFERENCE Rates'!G12</f>
        <v>3001 - 4000</v>
      </c>
      <c r="H27" s="737" t="str">
        <f>'Revenues from REFERENCE Rates'!H12</f>
        <v>4001 - 5000</v>
      </c>
      <c r="I27" s="706" t="str">
        <f>'Revenues from REFERENCE Rates'!I12</f>
        <v>5001 - 6000</v>
      </c>
      <c r="J27" s="706" t="str">
        <f>'Revenues from REFERENCE Rates'!J12</f>
        <v>6001 - 7000</v>
      </c>
      <c r="K27" s="706" t="str">
        <f>'Revenues from REFERENCE Rates'!K12</f>
        <v>7001 - 8000</v>
      </c>
      <c r="L27" s="706" t="str">
        <f>'Revenues from REFERENCE Rates'!L12</f>
        <v>8001 - 9000</v>
      </c>
      <c r="M27" s="706" t="str">
        <f>'Revenues from REFERENCE Rates'!M12</f>
        <v>9001 - 10000</v>
      </c>
      <c r="N27" s="706" t="str">
        <f>'Revenues from REFERENCE Rates'!N12</f>
        <v>10001 - 11000</v>
      </c>
      <c r="O27" s="706" t="str">
        <f>'Revenues from REFERENCE Rates'!O12</f>
        <v>11001 - 12000</v>
      </c>
      <c r="P27" s="706" t="str">
        <f>'Revenues from REFERENCE Rates'!P12</f>
        <v>12001 - 13000</v>
      </c>
      <c r="Q27" s="706" t="str">
        <f>'Revenues from REFERENCE Rates'!Q12</f>
        <v>13001 - 14000</v>
      </c>
      <c r="R27" s="706" t="str">
        <f>'Revenues from REFERENCE Rates'!R12</f>
        <v>14001 - 15000</v>
      </c>
      <c r="S27" s="706" t="str">
        <f>'Revenues from REFERENCE Rates'!S12</f>
        <v>15001 - 16000</v>
      </c>
      <c r="T27" s="706" t="str">
        <f>'Revenues from REFERENCE Rates'!T12</f>
        <v>16001 - 17000</v>
      </c>
      <c r="U27" s="706" t="str">
        <f>'Revenues from REFERENCE Rates'!U12</f>
        <v>17001 - 18000</v>
      </c>
      <c r="V27" s="706" t="str">
        <f>'Revenues from REFERENCE Rates'!V12</f>
        <v>18001 - 19000</v>
      </c>
      <c r="W27" s="706" t="str">
        <f>'Revenues from REFERENCE Rates'!W12</f>
        <v>19001 - 20000</v>
      </c>
      <c r="X27" s="706" t="str">
        <f>'Revenues from REFERENCE Rates'!X12</f>
        <v>20001 - 21000</v>
      </c>
      <c r="Y27" s="706" t="str">
        <f>'Revenues from REFERENCE Rates'!Y12</f>
        <v>21001 - 22000</v>
      </c>
      <c r="Z27" s="706" t="str">
        <f>'Revenues from REFERENCE Rates'!Z12</f>
        <v>22001 - 23000</v>
      </c>
      <c r="AA27" s="706" t="str">
        <f>'Revenues from REFERENCE Rates'!AA12</f>
        <v>23001 - 24000</v>
      </c>
      <c r="AB27" s="706" t="str">
        <f>'Revenues from REFERENCE Rates'!AB12</f>
        <v>24001 - 25000</v>
      </c>
      <c r="AC27" s="707" t="str">
        <f>'Revenues from REFERENCE Rates'!AC12</f>
        <v>&gt;25,000</v>
      </c>
    </row>
    <row r="28" spans="2:31" s="129" customFormat="1" ht="15" customHeight="1" thickBot="1">
      <c r="B28" s="431" t="s">
        <v>445</v>
      </c>
      <c r="C28" s="184">
        <v>0</v>
      </c>
      <c r="D28" s="484">
        <v>-2.5000000000000001E-2</v>
      </c>
      <c r="E28" s="484">
        <v>-0.05</v>
      </c>
      <c r="F28" s="484">
        <v>-7.5000000000000011E-2</v>
      </c>
      <c r="G28" s="484">
        <v>-0.1</v>
      </c>
      <c r="H28" s="484">
        <v>-0.125</v>
      </c>
      <c r="I28" s="485">
        <v>-0.15</v>
      </c>
      <c r="J28" s="485">
        <v>-0.17499999999999999</v>
      </c>
      <c r="K28" s="485">
        <v>-0.19999999999999998</v>
      </c>
      <c r="L28" s="485">
        <v>-0.22499999999999998</v>
      </c>
      <c r="M28" s="485">
        <v>-0.24999999999999997</v>
      </c>
      <c r="N28" s="485">
        <v>-0.27499999999999997</v>
      </c>
      <c r="O28" s="485">
        <v>-0.3</v>
      </c>
      <c r="P28" s="485">
        <v>-0.32500000000000001</v>
      </c>
      <c r="Q28" s="485">
        <v>-0.35000000000000003</v>
      </c>
      <c r="R28" s="485">
        <v>-0.37500000000000006</v>
      </c>
      <c r="S28" s="485">
        <v>-0.40000000000000008</v>
      </c>
      <c r="T28" s="485">
        <v>-0.4250000000000001</v>
      </c>
      <c r="U28" s="485">
        <v>-0.45000000000000012</v>
      </c>
      <c r="V28" s="485">
        <v>-0.47500000000000014</v>
      </c>
      <c r="W28" s="485">
        <v>-0.50000000000000011</v>
      </c>
      <c r="X28" s="485">
        <v>-0.52500000000000013</v>
      </c>
      <c r="Y28" s="485">
        <v>-0.55000000000000016</v>
      </c>
      <c r="Z28" s="485">
        <v>-0.57500000000000018</v>
      </c>
      <c r="AA28" s="485">
        <v>-0.6000000000000002</v>
      </c>
      <c r="AB28" s="485">
        <v>-0.62500000000000022</v>
      </c>
      <c r="AC28" s="489">
        <v>-0.65000000000000024</v>
      </c>
    </row>
    <row r="29" spans="2:31" s="129" customFormat="1" ht="33.75" customHeight="1">
      <c r="B29" s="1049" t="str">
        <f>"E.g.: With these inputs, it is assumed that customers who use 4,001-5,000 gallons/month will decrease their water use by "&amp;ROUND(-H28*10,2)&amp;"% for every 10% increase in their monthly bill for that consumption level."</f>
        <v>E.g.: With these inputs, it is assumed that customers who use 4,001-5,000 gallons/month will decrease their water use by 1.25% for every 10% increase in their monthly bill for that consumption level.</v>
      </c>
      <c r="C29" s="1050"/>
      <c r="D29" s="1050"/>
      <c r="E29" s="1050"/>
      <c r="F29" s="1050"/>
      <c r="G29" s="1050"/>
      <c r="H29" s="1051"/>
      <c r="I29" s="147"/>
      <c r="J29" s="147"/>
      <c r="K29" s="147"/>
      <c r="L29" s="147"/>
      <c r="M29" s="147"/>
      <c r="N29" s="147"/>
      <c r="O29" s="147"/>
      <c r="P29" s="147"/>
      <c r="Q29" s="147"/>
      <c r="R29" s="147"/>
      <c r="S29" s="147"/>
      <c r="T29" s="147"/>
      <c r="U29" s="147"/>
      <c r="V29" s="147"/>
      <c r="W29" s="147"/>
      <c r="X29" s="147"/>
      <c r="Y29" s="147"/>
      <c r="Z29" s="147"/>
      <c r="AA29" s="147"/>
      <c r="AB29" s="147"/>
      <c r="AC29" s="147"/>
    </row>
    <row r="30" spans="2:31" s="129" customFormat="1" ht="15" thickBot="1">
      <c r="B30" s="708"/>
      <c r="C30" s="709"/>
      <c r="D30" s="709"/>
      <c r="E30" s="709"/>
      <c r="F30" s="709"/>
      <c r="G30" s="709"/>
      <c r="H30" s="738"/>
      <c r="I30" s="147"/>
      <c r="J30" s="147"/>
      <c r="K30" s="147"/>
      <c r="L30" s="147"/>
      <c r="M30" s="147"/>
      <c r="N30" s="147"/>
      <c r="O30" s="147"/>
      <c r="P30" s="147"/>
      <c r="Q30" s="147"/>
      <c r="R30" s="147"/>
      <c r="S30" s="147"/>
      <c r="T30" s="147"/>
      <c r="U30" s="147"/>
      <c r="V30" s="147"/>
      <c r="W30" s="147"/>
      <c r="X30" s="147"/>
      <c r="Y30" s="147"/>
      <c r="Z30" s="147"/>
      <c r="AA30" s="147"/>
      <c r="AB30" s="147"/>
      <c r="AC30" s="147"/>
    </row>
    <row r="31" spans="2:31" ht="13.5" thickBot="1">
      <c r="B31" s="123"/>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row>
    <row r="32" spans="2:31" hidden="1">
      <c r="B32" s="123"/>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row>
    <row r="33" spans="2:31" hidden="1">
      <c r="B33" s="123" t="s">
        <v>69</v>
      </c>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row>
    <row r="34" spans="2:31" hidden="1">
      <c r="B34" s="123" t="s">
        <v>84</v>
      </c>
      <c r="C34" s="127">
        <v>0</v>
      </c>
      <c r="D34" s="127">
        <v>1</v>
      </c>
      <c r="E34" s="127">
        <v>2</v>
      </c>
      <c r="F34" s="127">
        <v>3</v>
      </c>
      <c r="G34" s="127">
        <v>4</v>
      </c>
      <c r="H34" s="127">
        <v>5</v>
      </c>
      <c r="I34" s="127">
        <v>6</v>
      </c>
      <c r="J34" s="127">
        <v>7</v>
      </c>
      <c r="K34" s="127">
        <v>8</v>
      </c>
      <c r="L34" s="127">
        <v>9</v>
      </c>
      <c r="M34" s="127">
        <v>10</v>
      </c>
      <c r="N34" s="127">
        <v>11</v>
      </c>
      <c r="O34" s="127">
        <v>12</v>
      </c>
      <c r="P34" s="127">
        <v>13</v>
      </c>
      <c r="Q34" s="127">
        <v>14</v>
      </c>
      <c r="R34" s="127">
        <v>15</v>
      </c>
      <c r="S34" s="127">
        <v>16</v>
      </c>
      <c r="T34" s="127">
        <v>17</v>
      </c>
      <c r="U34" s="127">
        <v>18</v>
      </c>
      <c r="V34" s="127">
        <v>19</v>
      </c>
      <c r="W34" s="127">
        <v>20</v>
      </c>
      <c r="X34" s="127">
        <v>21</v>
      </c>
      <c r="Y34" s="127">
        <v>22</v>
      </c>
      <c r="Z34" s="127">
        <v>23</v>
      </c>
      <c r="AA34" s="127">
        <v>24</v>
      </c>
      <c r="AB34" s="127">
        <v>25</v>
      </c>
      <c r="AC34" s="127">
        <v>26</v>
      </c>
    </row>
    <row r="35" spans="2:31" hidden="1">
      <c r="B35" s="123" t="s">
        <v>62</v>
      </c>
      <c r="C35" s="127">
        <f>C37</f>
        <v>0</v>
      </c>
      <c r="D35" s="127">
        <f>C37+1</f>
        <v>1</v>
      </c>
      <c r="E35" s="127">
        <f t="shared" ref="E35:AC35" si="2">D37+1</f>
        <v>994</v>
      </c>
      <c r="F35" s="127">
        <f t="shared" si="2"/>
        <v>1991</v>
      </c>
      <c r="G35" s="127">
        <f t="shared" si="2"/>
        <v>2983</v>
      </c>
      <c r="H35" s="127">
        <f t="shared" si="2"/>
        <v>3974</v>
      </c>
      <c r="I35" s="127">
        <f t="shared" si="2"/>
        <v>4965</v>
      </c>
      <c r="J35" s="127">
        <f t="shared" si="2"/>
        <v>5956</v>
      </c>
      <c r="K35" s="127">
        <f t="shared" si="2"/>
        <v>6947</v>
      </c>
      <c r="L35" s="127">
        <f t="shared" si="2"/>
        <v>7937</v>
      </c>
      <c r="M35" s="127">
        <f t="shared" si="2"/>
        <v>8927</v>
      </c>
      <c r="N35" s="127">
        <f t="shared" si="2"/>
        <v>9918</v>
      </c>
      <c r="O35" s="127">
        <f t="shared" si="2"/>
        <v>10908</v>
      </c>
      <c r="P35" s="127">
        <f t="shared" si="2"/>
        <v>11898</v>
      </c>
      <c r="Q35" s="127">
        <f t="shared" si="2"/>
        <v>12888</v>
      </c>
      <c r="R35" s="127">
        <f t="shared" si="2"/>
        <v>13879</v>
      </c>
      <c r="S35" s="127">
        <f t="shared" si="2"/>
        <v>14869</v>
      </c>
      <c r="T35" s="127">
        <f t="shared" si="2"/>
        <v>15859</v>
      </c>
      <c r="U35" s="127">
        <f t="shared" si="2"/>
        <v>16849</v>
      </c>
      <c r="V35" s="127">
        <f t="shared" si="2"/>
        <v>17839</v>
      </c>
      <c r="W35" s="127">
        <f t="shared" si="2"/>
        <v>18829</v>
      </c>
      <c r="X35" s="127">
        <f t="shared" si="2"/>
        <v>19819</v>
      </c>
      <c r="Y35" s="127">
        <f t="shared" si="2"/>
        <v>20809</v>
      </c>
      <c r="Z35" s="127">
        <f t="shared" si="2"/>
        <v>21799</v>
      </c>
      <c r="AA35" s="127">
        <f t="shared" si="2"/>
        <v>22789</v>
      </c>
      <c r="AB35" s="127">
        <f t="shared" si="2"/>
        <v>23779</v>
      </c>
      <c r="AC35" s="127">
        <f t="shared" si="2"/>
        <v>24770</v>
      </c>
    </row>
    <row r="36" spans="2:31" hidden="1">
      <c r="B36" s="123" t="s">
        <v>59</v>
      </c>
      <c r="C36" s="127" t="s">
        <v>59</v>
      </c>
      <c r="D36" s="127" t="s">
        <v>59</v>
      </c>
      <c r="E36" s="127" t="s">
        <v>59</v>
      </c>
      <c r="F36" s="127" t="s">
        <v>59</v>
      </c>
      <c r="G36" s="127" t="s">
        <v>59</v>
      </c>
      <c r="H36" s="127" t="s">
        <v>59</v>
      </c>
      <c r="I36" s="127" t="s">
        <v>59</v>
      </c>
      <c r="J36" s="127" t="s">
        <v>59</v>
      </c>
      <c r="K36" s="127" t="s">
        <v>59</v>
      </c>
      <c r="L36" s="127" t="s">
        <v>59</v>
      </c>
      <c r="M36" s="127" t="s">
        <v>59</v>
      </c>
      <c r="N36" s="127" t="s">
        <v>59</v>
      </c>
      <c r="O36" s="127" t="s">
        <v>59</v>
      </c>
      <c r="P36" s="127" t="s">
        <v>59</v>
      </c>
      <c r="Q36" s="127" t="s">
        <v>59</v>
      </c>
      <c r="R36" s="127" t="s">
        <v>59</v>
      </c>
      <c r="S36" s="127" t="s">
        <v>59</v>
      </c>
      <c r="T36" s="127" t="s">
        <v>59</v>
      </c>
      <c r="U36" s="127" t="s">
        <v>59</v>
      </c>
      <c r="V36" s="127" t="s">
        <v>59</v>
      </c>
      <c r="W36" s="127" t="s">
        <v>59</v>
      </c>
      <c r="X36" s="127" t="s">
        <v>59</v>
      </c>
      <c r="Y36" s="127" t="s">
        <v>59</v>
      </c>
      <c r="Z36" s="127" t="s">
        <v>59</v>
      </c>
      <c r="AA36" s="127" t="s">
        <v>59</v>
      </c>
      <c r="AB36" s="127" t="s">
        <v>59</v>
      </c>
      <c r="AC36" s="127" t="s">
        <v>59</v>
      </c>
      <c r="AE36" s="127" t="s">
        <v>270</v>
      </c>
    </row>
    <row r="37" spans="2:31" hidden="1">
      <c r="B37" s="123" t="s">
        <v>49</v>
      </c>
      <c r="C37" s="382">
        <f t="shared" ref="C37:AB37" si="3">ROUND(C$17*(1+C28*C9),0)</f>
        <v>0</v>
      </c>
      <c r="D37" s="382">
        <f t="shared" si="3"/>
        <v>993</v>
      </c>
      <c r="E37" s="382">
        <f t="shared" si="3"/>
        <v>1990</v>
      </c>
      <c r="F37" s="382">
        <f t="shared" si="3"/>
        <v>2982</v>
      </c>
      <c r="G37" s="382">
        <f t="shared" si="3"/>
        <v>3973</v>
      </c>
      <c r="H37" s="382">
        <f t="shared" si="3"/>
        <v>4964</v>
      </c>
      <c r="I37" s="382">
        <f t="shared" si="3"/>
        <v>5955</v>
      </c>
      <c r="J37" s="382">
        <f t="shared" si="3"/>
        <v>6946</v>
      </c>
      <c r="K37" s="382">
        <f t="shared" si="3"/>
        <v>7936</v>
      </c>
      <c r="L37" s="382">
        <f t="shared" si="3"/>
        <v>8926</v>
      </c>
      <c r="M37" s="382">
        <f t="shared" si="3"/>
        <v>9917</v>
      </c>
      <c r="N37" s="382">
        <f t="shared" si="3"/>
        <v>10907</v>
      </c>
      <c r="O37" s="382">
        <f t="shared" si="3"/>
        <v>11897</v>
      </c>
      <c r="P37" s="382">
        <f t="shared" si="3"/>
        <v>12887</v>
      </c>
      <c r="Q37" s="382">
        <f t="shared" si="3"/>
        <v>13878</v>
      </c>
      <c r="R37" s="382">
        <f t="shared" si="3"/>
        <v>14868</v>
      </c>
      <c r="S37" s="382">
        <f t="shared" si="3"/>
        <v>15858</v>
      </c>
      <c r="T37" s="382">
        <f t="shared" si="3"/>
        <v>16848</v>
      </c>
      <c r="U37" s="382">
        <f t="shared" si="3"/>
        <v>17838</v>
      </c>
      <c r="V37" s="382">
        <f t="shared" si="3"/>
        <v>18828</v>
      </c>
      <c r="W37" s="382">
        <f t="shared" si="3"/>
        <v>19818</v>
      </c>
      <c r="X37" s="382">
        <f t="shared" si="3"/>
        <v>20808</v>
      </c>
      <c r="Y37" s="382">
        <f t="shared" si="3"/>
        <v>21798</v>
      </c>
      <c r="Z37" s="382">
        <f t="shared" si="3"/>
        <v>22788</v>
      </c>
      <c r="AA37" s="382">
        <f t="shared" si="3"/>
        <v>23778</v>
      </c>
      <c r="AB37" s="382">
        <f t="shared" si="3"/>
        <v>24769</v>
      </c>
      <c r="AC37" s="382">
        <f>AE37*2</f>
        <v>54516</v>
      </c>
      <c r="AE37" s="382">
        <f>ROUND(AE$17*(1+AC28*AC9),0)</f>
        <v>27258</v>
      </c>
    </row>
    <row r="38" spans="2:31" s="123" customFormat="1" hidden="1">
      <c r="B38" s="123" t="s">
        <v>50</v>
      </c>
      <c r="C38" s="391" t="s">
        <v>0</v>
      </c>
      <c r="D38" s="394">
        <f t="shared" ref="D38:AC38" si="4">D18/(D37-(D35-1))</f>
        <v>83.639476334340387</v>
      </c>
      <c r="E38" s="394">
        <f t="shared" si="4"/>
        <v>118.79438314944835</v>
      </c>
      <c r="F38" s="394">
        <f t="shared" si="4"/>
        <v>121.0836693548387</v>
      </c>
      <c r="G38" s="394">
        <f t="shared" si="4"/>
        <v>114.16952573158426</v>
      </c>
      <c r="H38" s="394">
        <f t="shared" si="4"/>
        <v>87.480322906155394</v>
      </c>
      <c r="I38" s="394">
        <f t="shared" si="4"/>
        <v>68.630676084762868</v>
      </c>
      <c r="J38" s="394">
        <f t="shared" si="4"/>
        <v>45.496468213925326</v>
      </c>
      <c r="K38" s="394">
        <f t="shared" si="4"/>
        <v>36.281818181818181</v>
      </c>
      <c r="L38" s="394">
        <f t="shared" si="4"/>
        <v>22.570707070707069</v>
      </c>
      <c r="M38" s="394">
        <f t="shared" si="4"/>
        <v>20.050454086781031</v>
      </c>
      <c r="N38" s="394">
        <f t="shared" si="4"/>
        <v>11.932323232323233</v>
      </c>
      <c r="O38" s="394">
        <f t="shared" si="4"/>
        <v>11.93030303030303</v>
      </c>
      <c r="P38" s="394">
        <f t="shared" si="4"/>
        <v>7.1464646464646462</v>
      </c>
      <c r="Q38" s="394">
        <f t="shared" si="4"/>
        <v>7.6014127144298689</v>
      </c>
      <c r="R38" s="394">
        <f t="shared" si="4"/>
        <v>4.6878787878787875</v>
      </c>
      <c r="S38" s="394">
        <f t="shared" si="4"/>
        <v>5.2757575757575754</v>
      </c>
      <c r="T38" s="394">
        <f t="shared" si="4"/>
        <v>3.3616161616161615</v>
      </c>
      <c r="U38" s="394">
        <f t="shared" si="4"/>
        <v>3.904040404040404</v>
      </c>
      <c r="V38" s="394">
        <f t="shared" si="4"/>
        <v>2.4848484848484849</v>
      </c>
      <c r="W38" s="394">
        <f t="shared" si="4"/>
        <v>2.985858585858586</v>
      </c>
      <c r="X38" s="394">
        <f t="shared" si="4"/>
        <v>2.7818181818181817</v>
      </c>
      <c r="Y38" s="394">
        <f t="shared" si="4"/>
        <v>2.6797979797979798</v>
      </c>
      <c r="Z38" s="394">
        <f t="shared" si="4"/>
        <v>2.5464646464646465</v>
      </c>
      <c r="AA38" s="394">
        <f t="shared" si="4"/>
        <v>2.3444444444444446</v>
      </c>
      <c r="AB38" s="394">
        <f t="shared" si="4"/>
        <v>2.0050454086781029</v>
      </c>
      <c r="AC38" s="394">
        <f t="shared" si="4"/>
        <v>0.3951322822469493</v>
      </c>
    </row>
    <row r="39" spans="2:31" hidden="1">
      <c r="B39" s="123" t="str">
        <f>B37</f>
        <v>New max quantity for those customers</v>
      </c>
      <c r="C39" s="382">
        <f>C37</f>
        <v>0</v>
      </c>
      <c r="D39" s="382">
        <f t="shared" ref="D39:AB39" si="5">D37</f>
        <v>993</v>
      </c>
      <c r="E39" s="382">
        <f t="shared" si="5"/>
        <v>1990</v>
      </c>
      <c r="F39" s="382">
        <f t="shared" si="5"/>
        <v>2982</v>
      </c>
      <c r="G39" s="382">
        <f t="shared" si="5"/>
        <v>3973</v>
      </c>
      <c r="H39" s="382">
        <f t="shared" si="5"/>
        <v>4964</v>
      </c>
      <c r="I39" s="382">
        <f t="shared" si="5"/>
        <v>5955</v>
      </c>
      <c r="J39" s="382">
        <f t="shared" si="5"/>
        <v>6946</v>
      </c>
      <c r="K39" s="382">
        <f t="shared" si="5"/>
        <v>7936</v>
      </c>
      <c r="L39" s="382">
        <f t="shared" si="5"/>
        <v>8926</v>
      </c>
      <c r="M39" s="382">
        <f t="shared" si="5"/>
        <v>9917</v>
      </c>
      <c r="N39" s="382">
        <f t="shared" si="5"/>
        <v>10907</v>
      </c>
      <c r="O39" s="382">
        <f t="shared" si="5"/>
        <v>11897</v>
      </c>
      <c r="P39" s="382">
        <f t="shared" si="5"/>
        <v>12887</v>
      </c>
      <c r="Q39" s="382">
        <f t="shared" si="5"/>
        <v>13878</v>
      </c>
      <c r="R39" s="382">
        <f t="shared" si="5"/>
        <v>14868</v>
      </c>
      <c r="S39" s="382">
        <f t="shared" si="5"/>
        <v>15858</v>
      </c>
      <c r="T39" s="382">
        <f t="shared" si="5"/>
        <v>16848</v>
      </c>
      <c r="U39" s="382">
        <f t="shared" si="5"/>
        <v>17838</v>
      </c>
      <c r="V39" s="382">
        <f t="shared" si="5"/>
        <v>18828</v>
      </c>
      <c r="W39" s="382">
        <f t="shared" si="5"/>
        <v>19818</v>
      </c>
      <c r="X39" s="382">
        <f t="shared" si="5"/>
        <v>20808</v>
      </c>
      <c r="Y39" s="382">
        <f t="shared" si="5"/>
        <v>21798</v>
      </c>
      <c r="Z39" s="382">
        <f t="shared" si="5"/>
        <v>22788</v>
      </c>
      <c r="AA39" s="382">
        <f t="shared" si="5"/>
        <v>23778</v>
      </c>
      <c r="AB39" s="382">
        <f t="shared" si="5"/>
        <v>24769</v>
      </c>
      <c r="AC39" s="382">
        <f>AC37</f>
        <v>54516</v>
      </c>
    </row>
    <row r="40" spans="2:31" hidden="1">
      <c r="B40" s="123" t="s">
        <v>55</v>
      </c>
      <c r="C40" s="127">
        <f t="shared" ref="C40:AC40" si="6">C18</f>
        <v>67031</v>
      </c>
      <c r="D40" s="127">
        <f t="shared" si="6"/>
        <v>83054</v>
      </c>
      <c r="E40" s="127">
        <f t="shared" si="6"/>
        <v>118438</v>
      </c>
      <c r="F40" s="127">
        <f t="shared" si="6"/>
        <v>120115</v>
      </c>
      <c r="G40" s="127">
        <f t="shared" si="6"/>
        <v>113142</v>
      </c>
      <c r="H40" s="127">
        <f t="shared" si="6"/>
        <v>86693</v>
      </c>
      <c r="I40" s="127">
        <f t="shared" si="6"/>
        <v>68013</v>
      </c>
      <c r="J40" s="127">
        <f t="shared" si="6"/>
        <v>45087</v>
      </c>
      <c r="K40" s="127">
        <f t="shared" si="6"/>
        <v>35919</v>
      </c>
      <c r="L40" s="127">
        <f t="shared" si="6"/>
        <v>22345</v>
      </c>
      <c r="M40" s="127">
        <f t="shared" si="6"/>
        <v>19870</v>
      </c>
      <c r="N40" s="127">
        <f t="shared" si="6"/>
        <v>11813</v>
      </c>
      <c r="O40" s="127">
        <f t="shared" si="6"/>
        <v>11811</v>
      </c>
      <c r="P40" s="127">
        <f t="shared" si="6"/>
        <v>7075</v>
      </c>
      <c r="Q40" s="127">
        <f t="shared" si="6"/>
        <v>7533</v>
      </c>
      <c r="R40" s="127">
        <f t="shared" si="6"/>
        <v>4641</v>
      </c>
      <c r="S40" s="127">
        <f t="shared" si="6"/>
        <v>5223</v>
      </c>
      <c r="T40" s="127">
        <f t="shared" si="6"/>
        <v>3328</v>
      </c>
      <c r="U40" s="127">
        <f t="shared" si="6"/>
        <v>3865</v>
      </c>
      <c r="V40" s="127">
        <f t="shared" si="6"/>
        <v>2460</v>
      </c>
      <c r="W40" s="127">
        <f t="shared" si="6"/>
        <v>2956</v>
      </c>
      <c r="X40" s="127">
        <f t="shared" si="6"/>
        <v>2754</v>
      </c>
      <c r="Y40" s="127">
        <f t="shared" si="6"/>
        <v>2653</v>
      </c>
      <c r="Z40" s="127">
        <f t="shared" si="6"/>
        <v>2521</v>
      </c>
      <c r="AA40" s="127">
        <f t="shared" si="6"/>
        <v>2321</v>
      </c>
      <c r="AB40" s="127">
        <f t="shared" si="6"/>
        <v>1987</v>
      </c>
      <c r="AC40" s="127">
        <f t="shared" si="6"/>
        <v>11754</v>
      </c>
    </row>
    <row r="41" spans="2:31" hidden="1">
      <c r="B41" s="123" t="s">
        <v>56</v>
      </c>
      <c r="C41" s="395">
        <f t="shared" ref="C41:AC41" si="7">C19</f>
        <v>67031</v>
      </c>
      <c r="D41" s="395">
        <f t="shared" si="7"/>
        <v>150085</v>
      </c>
      <c r="E41" s="395">
        <f t="shared" si="7"/>
        <v>268523</v>
      </c>
      <c r="F41" s="395">
        <f t="shared" si="7"/>
        <v>388638</v>
      </c>
      <c r="G41" s="395">
        <f t="shared" si="7"/>
        <v>501780</v>
      </c>
      <c r="H41" s="395">
        <f t="shared" si="7"/>
        <v>588473</v>
      </c>
      <c r="I41" s="395">
        <f t="shared" si="7"/>
        <v>656486</v>
      </c>
      <c r="J41" s="395">
        <f t="shared" si="7"/>
        <v>701573</v>
      </c>
      <c r="K41" s="395">
        <f t="shared" si="7"/>
        <v>737492</v>
      </c>
      <c r="L41" s="395">
        <f t="shared" si="7"/>
        <v>759837</v>
      </c>
      <c r="M41" s="395">
        <f t="shared" si="7"/>
        <v>779707</v>
      </c>
      <c r="N41" s="395">
        <f t="shared" si="7"/>
        <v>791520</v>
      </c>
      <c r="O41" s="395">
        <f t="shared" si="7"/>
        <v>803331</v>
      </c>
      <c r="P41" s="395">
        <f t="shared" si="7"/>
        <v>810406</v>
      </c>
      <c r="Q41" s="395">
        <f t="shared" si="7"/>
        <v>817939</v>
      </c>
      <c r="R41" s="395">
        <f t="shared" si="7"/>
        <v>822580</v>
      </c>
      <c r="S41" s="395">
        <f t="shared" si="7"/>
        <v>827803</v>
      </c>
      <c r="T41" s="395">
        <f t="shared" si="7"/>
        <v>831131</v>
      </c>
      <c r="U41" s="395">
        <f t="shared" si="7"/>
        <v>834996</v>
      </c>
      <c r="V41" s="395">
        <f t="shared" si="7"/>
        <v>837456</v>
      </c>
      <c r="W41" s="395">
        <f t="shared" si="7"/>
        <v>840412</v>
      </c>
      <c r="X41" s="395">
        <f t="shared" si="7"/>
        <v>843166</v>
      </c>
      <c r="Y41" s="395">
        <f t="shared" si="7"/>
        <v>845819</v>
      </c>
      <c r="Z41" s="395">
        <f t="shared" si="7"/>
        <v>848340</v>
      </c>
      <c r="AA41" s="395">
        <f t="shared" si="7"/>
        <v>850661</v>
      </c>
      <c r="AB41" s="395">
        <f t="shared" si="7"/>
        <v>852648</v>
      </c>
      <c r="AC41" s="395">
        <f t="shared" si="7"/>
        <v>864402</v>
      </c>
    </row>
    <row r="42" spans="2:31" hidden="1">
      <c r="B42" s="123"/>
      <c r="C42" s="382"/>
      <c r="D42" s="382"/>
      <c r="E42" s="382"/>
      <c r="F42" s="382"/>
      <c r="G42" s="382"/>
      <c r="H42" s="382"/>
      <c r="I42" s="382"/>
      <c r="J42" s="382"/>
      <c r="K42" s="382"/>
      <c r="L42" s="382"/>
      <c r="M42" s="382"/>
      <c r="N42" s="382"/>
      <c r="O42" s="382"/>
      <c r="P42" s="382"/>
      <c r="Q42" s="382"/>
      <c r="R42" s="382"/>
      <c r="S42" s="382"/>
      <c r="T42" s="382"/>
      <c r="U42" s="382"/>
      <c r="V42" s="382"/>
      <c r="W42" s="382"/>
      <c r="X42" s="382"/>
      <c r="Y42" s="382"/>
      <c r="Z42" s="382"/>
      <c r="AA42" s="382"/>
      <c r="AB42" s="382"/>
      <c r="AC42" s="382"/>
    </row>
    <row r="43" spans="2:31" hidden="1">
      <c r="B43" s="123" t="s">
        <v>53</v>
      </c>
      <c r="C43" s="382">
        <v>0</v>
      </c>
      <c r="D43" s="383">
        <v>1000</v>
      </c>
      <c r="E43" s="383">
        <v>2000</v>
      </c>
      <c r="F43" s="383">
        <v>3000</v>
      </c>
      <c r="G43" s="383">
        <v>4000</v>
      </c>
      <c r="H43" s="383">
        <v>5000</v>
      </c>
      <c r="I43" s="383">
        <v>6000</v>
      </c>
      <c r="J43" s="383">
        <v>7000</v>
      </c>
      <c r="K43" s="383">
        <v>8000</v>
      </c>
      <c r="L43" s="383">
        <v>9000</v>
      </c>
      <c r="M43" s="383">
        <v>10000</v>
      </c>
      <c r="N43" s="383">
        <v>11000</v>
      </c>
      <c r="O43" s="383">
        <v>12000</v>
      </c>
      <c r="P43" s="383">
        <v>13000</v>
      </c>
      <c r="Q43" s="383">
        <v>14000</v>
      </c>
      <c r="R43" s="383">
        <v>15000</v>
      </c>
      <c r="S43" s="383">
        <v>16000</v>
      </c>
      <c r="T43" s="383">
        <v>17000</v>
      </c>
      <c r="U43" s="383">
        <v>18000</v>
      </c>
      <c r="V43" s="383">
        <v>19000</v>
      </c>
      <c r="W43" s="383">
        <v>20000</v>
      </c>
      <c r="X43" s="383">
        <v>21000</v>
      </c>
      <c r="Y43" s="383">
        <v>22000</v>
      </c>
      <c r="Z43" s="383">
        <v>23000</v>
      </c>
      <c r="AA43" s="383">
        <v>24000</v>
      </c>
      <c r="AB43" s="383">
        <v>25000</v>
      </c>
      <c r="AC43" s="383">
        <f>AC37</f>
        <v>54516</v>
      </c>
    </row>
    <row r="44" spans="2:31" s="398" customFormat="1" hidden="1">
      <c r="B44" s="396" t="s">
        <v>66</v>
      </c>
      <c r="C44" s="397">
        <f t="shared" ref="C44:AC44" si="8">IF(C37&lt;=C17,C43,IF(C37&lt;=D17,C43+1000,IF(C37&lt;=E17,C43+2000,C43+3000)))</f>
        <v>0</v>
      </c>
      <c r="D44" s="397">
        <f t="shared" si="8"/>
        <v>1000</v>
      </c>
      <c r="E44" s="397">
        <f t="shared" si="8"/>
        <v>2000</v>
      </c>
      <c r="F44" s="397">
        <f t="shared" si="8"/>
        <v>3000</v>
      </c>
      <c r="G44" s="397">
        <f t="shared" si="8"/>
        <v>4000</v>
      </c>
      <c r="H44" s="397">
        <f t="shared" si="8"/>
        <v>5000</v>
      </c>
      <c r="I44" s="397">
        <f t="shared" si="8"/>
        <v>6000</v>
      </c>
      <c r="J44" s="397">
        <f t="shared" si="8"/>
        <v>7000</v>
      </c>
      <c r="K44" s="397">
        <f t="shared" si="8"/>
        <v>8000</v>
      </c>
      <c r="L44" s="397">
        <f t="shared" si="8"/>
        <v>9000</v>
      </c>
      <c r="M44" s="397">
        <f t="shared" si="8"/>
        <v>10000</v>
      </c>
      <c r="N44" s="397">
        <f t="shared" si="8"/>
        <v>11000</v>
      </c>
      <c r="O44" s="397">
        <f t="shared" si="8"/>
        <v>12000</v>
      </c>
      <c r="P44" s="397">
        <f t="shared" si="8"/>
        <v>13000</v>
      </c>
      <c r="Q44" s="397">
        <f t="shared" si="8"/>
        <v>14000</v>
      </c>
      <c r="R44" s="397">
        <f t="shared" si="8"/>
        <v>15000</v>
      </c>
      <c r="S44" s="397">
        <f t="shared" si="8"/>
        <v>16000</v>
      </c>
      <c r="T44" s="397">
        <f t="shared" si="8"/>
        <v>17000</v>
      </c>
      <c r="U44" s="397">
        <f t="shared" si="8"/>
        <v>18000</v>
      </c>
      <c r="V44" s="397">
        <f t="shared" si="8"/>
        <v>19000</v>
      </c>
      <c r="W44" s="397">
        <f t="shared" si="8"/>
        <v>20000</v>
      </c>
      <c r="X44" s="397">
        <f t="shared" si="8"/>
        <v>21000</v>
      </c>
      <c r="Y44" s="397">
        <f t="shared" si="8"/>
        <v>22000</v>
      </c>
      <c r="Z44" s="397">
        <f t="shared" si="8"/>
        <v>23000</v>
      </c>
      <c r="AA44" s="397">
        <f t="shared" si="8"/>
        <v>24000</v>
      </c>
      <c r="AB44" s="397">
        <f t="shared" si="8"/>
        <v>25000</v>
      </c>
      <c r="AC44" s="397">
        <f t="shared" si="8"/>
        <v>54516</v>
      </c>
    </row>
    <row r="45" spans="2:31" s="398" customFormat="1" hidden="1">
      <c r="B45" s="396"/>
      <c r="C45" s="397"/>
      <c r="D45" s="397"/>
      <c r="E45" s="397"/>
      <c r="F45" s="397"/>
      <c r="G45" s="397"/>
      <c r="H45" s="397"/>
      <c r="I45" s="397"/>
      <c r="J45" s="397"/>
      <c r="K45" s="397"/>
      <c r="L45" s="397"/>
      <c r="M45" s="397"/>
      <c r="N45" s="397"/>
      <c r="O45" s="397"/>
      <c r="P45" s="397"/>
      <c r="Q45" s="397"/>
      <c r="R45" s="397"/>
      <c r="S45" s="397"/>
      <c r="T45" s="397"/>
      <c r="U45" s="397"/>
      <c r="V45" s="397"/>
      <c r="W45" s="397"/>
      <c r="X45" s="397"/>
      <c r="Y45" s="397"/>
      <c r="Z45" s="397"/>
      <c r="AA45" s="397"/>
      <c r="AB45" s="397"/>
      <c r="AC45" s="397"/>
    </row>
    <row r="46" spans="2:31" s="398" customFormat="1" hidden="1">
      <c r="B46" s="396" t="s">
        <v>300</v>
      </c>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row>
    <row r="47" spans="2:31" s="398" customFormat="1" hidden="1">
      <c r="B47" s="396" t="s">
        <v>47</v>
      </c>
      <c r="C47" s="399">
        <f t="shared" ref="C47:AC47" si="9">ROUND(C$17/(1+(C$28*C9)),0)</f>
        <v>0</v>
      </c>
      <c r="D47" s="399">
        <f t="shared" si="9"/>
        <v>1007</v>
      </c>
      <c r="E47" s="399">
        <f t="shared" si="9"/>
        <v>2010</v>
      </c>
      <c r="F47" s="399">
        <f t="shared" si="9"/>
        <v>3018</v>
      </c>
      <c r="G47" s="399">
        <f t="shared" si="9"/>
        <v>4027</v>
      </c>
      <c r="H47" s="399">
        <f t="shared" si="9"/>
        <v>5036</v>
      </c>
      <c r="I47" s="399">
        <f t="shared" si="9"/>
        <v>6045</v>
      </c>
      <c r="J47" s="399">
        <f t="shared" si="9"/>
        <v>7055</v>
      </c>
      <c r="K47" s="399">
        <f t="shared" si="9"/>
        <v>8065</v>
      </c>
      <c r="L47" s="399">
        <f t="shared" si="9"/>
        <v>9074</v>
      </c>
      <c r="M47" s="399">
        <f t="shared" si="9"/>
        <v>10084</v>
      </c>
      <c r="N47" s="399">
        <f t="shared" si="9"/>
        <v>11094</v>
      </c>
      <c r="O47" s="399">
        <f t="shared" si="9"/>
        <v>12104</v>
      </c>
      <c r="P47" s="399">
        <f t="shared" si="9"/>
        <v>13114</v>
      </c>
      <c r="Q47" s="399">
        <f t="shared" si="9"/>
        <v>14124</v>
      </c>
      <c r="R47" s="399">
        <f t="shared" si="9"/>
        <v>15134</v>
      </c>
      <c r="S47" s="399">
        <f t="shared" si="9"/>
        <v>16143</v>
      </c>
      <c r="T47" s="399">
        <f t="shared" si="9"/>
        <v>17153</v>
      </c>
      <c r="U47" s="399">
        <f t="shared" si="9"/>
        <v>18163</v>
      </c>
      <c r="V47" s="399">
        <f t="shared" si="9"/>
        <v>19173</v>
      </c>
      <c r="W47" s="399">
        <f t="shared" si="9"/>
        <v>20183</v>
      </c>
      <c r="X47" s="399">
        <f t="shared" si="9"/>
        <v>21194</v>
      </c>
      <c r="Y47" s="399">
        <f t="shared" si="9"/>
        <v>22204</v>
      </c>
      <c r="Z47" s="399">
        <f t="shared" si="9"/>
        <v>23214</v>
      </c>
      <c r="AA47" s="399">
        <f t="shared" si="9"/>
        <v>24224</v>
      </c>
      <c r="AB47" s="399">
        <f t="shared" si="9"/>
        <v>25234</v>
      </c>
      <c r="AC47" s="399">
        <f t="shared" si="9"/>
        <v>55489</v>
      </c>
    </row>
    <row r="48" spans="2:31" s="398" customFormat="1" hidden="1">
      <c r="B48" s="396" t="s">
        <v>76</v>
      </c>
      <c r="C48" s="399"/>
      <c r="D48" s="399">
        <f t="shared" ref="D48:AC48" si="10">IF(C47&gt;C17,C47-C17,0)</f>
        <v>0</v>
      </c>
      <c r="E48" s="399">
        <f t="shared" si="10"/>
        <v>7</v>
      </c>
      <c r="F48" s="399">
        <f t="shared" si="10"/>
        <v>10</v>
      </c>
      <c r="G48" s="399">
        <f t="shared" si="10"/>
        <v>18</v>
      </c>
      <c r="H48" s="399">
        <f t="shared" si="10"/>
        <v>27</v>
      </c>
      <c r="I48" s="399">
        <f t="shared" si="10"/>
        <v>36</v>
      </c>
      <c r="J48" s="399">
        <f t="shared" si="10"/>
        <v>45</v>
      </c>
      <c r="K48" s="399">
        <f t="shared" si="10"/>
        <v>55</v>
      </c>
      <c r="L48" s="399">
        <f t="shared" si="10"/>
        <v>65</v>
      </c>
      <c r="M48" s="399">
        <f t="shared" si="10"/>
        <v>74</v>
      </c>
      <c r="N48" s="399">
        <f t="shared" si="10"/>
        <v>84</v>
      </c>
      <c r="O48" s="399">
        <f t="shared" si="10"/>
        <v>94</v>
      </c>
      <c r="P48" s="399">
        <f t="shared" si="10"/>
        <v>104</v>
      </c>
      <c r="Q48" s="399">
        <f t="shared" si="10"/>
        <v>114</v>
      </c>
      <c r="R48" s="399">
        <f t="shared" si="10"/>
        <v>124</v>
      </c>
      <c r="S48" s="399">
        <f t="shared" si="10"/>
        <v>134</v>
      </c>
      <c r="T48" s="399">
        <f t="shared" si="10"/>
        <v>143</v>
      </c>
      <c r="U48" s="399">
        <f t="shared" si="10"/>
        <v>153</v>
      </c>
      <c r="V48" s="399">
        <f t="shared" si="10"/>
        <v>163</v>
      </c>
      <c r="W48" s="399">
        <f t="shared" si="10"/>
        <v>173</v>
      </c>
      <c r="X48" s="399">
        <f t="shared" si="10"/>
        <v>183</v>
      </c>
      <c r="Y48" s="399">
        <f t="shared" si="10"/>
        <v>194</v>
      </c>
      <c r="Z48" s="399">
        <f t="shared" si="10"/>
        <v>204</v>
      </c>
      <c r="AA48" s="399">
        <f t="shared" si="10"/>
        <v>214</v>
      </c>
      <c r="AB48" s="399">
        <f t="shared" si="10"/>
        <v>224</v>
      </c>
      <c r="AC48" s="399">
        <f t="shared" si="10"/>
        <v>234</v>
      </c>
    </row>
    <row r="49" spans="2:29" s="398" customFormat="1" hidden="1">
      <c r="B49" s="396" t="s">
        <v>71</v>
      </c>
      <c r="C49" s="399"/>
      <c r="D49" s="399">
        <f>IF(D48&gt;0,D38,0)</f>
        <v>0</v>
      </c>
      <c r="E49" s="399">
        <f>IF(E48&gt;0,E38,0)</f>
        <v>118.79438314944835</v>
      </c>
      <c r="F49" s="399">
        <f>IF(F48&gt;0,F38,0)</f>
        <v>121.0836693548387</v>
      </c>
      <c r="G49" s="399">
        <f t="shared" ref="G49:AC49" si="11">IF(G48&gt;0,G38,0)</f>
        <v>114.16952573158426</v>
      </c>
      <c r="H49" s="399">
        <f t="shared" si="11"/>
        <v>87.480322906155394</v>
      </c>
      <c r="I49" s="399">
        <f t="shared" si="11"/>
        <v>68.630676084762868</v>
      </c>
      <c r="J49" s="399">
        <f t="shared" si="11"/>
        <v>45.496468213925326</v>
      </c>
      <c r="K49" s="399">
        <f t="shared" si="11"/>
        <v>36.281818181818181</v>
      </c>
      <c r="L49" s="399">
        <f t="shared" si="11"/>
        <v>22.570707070707069</v>
      </c>
      <c r="M49" s="399">
        <f t="shared" si="11"/>
        <v>20.050454086781031</v>
      </c>
      <c r="N49" s="399">
        <f t="shared" si="11"/>
        <v>11.932323232323233</v>
      </c>
      <c r="O49" s="399">
        <f t="shared" si="11"/>
        <v>11.93030303030303</v>
      </c>
      <c r="P49" s="399">
        <f t="shared" si="11"/>
        <v>7.1464646464646462</v>
      </c>
      <c r="Q49" s="399">
        <f t="shared" si="11"/>
        <v>7.6014127144298689</v>
      </c>
      <c r="R49" s="399">
        <f t="shared" si="11"/>
        <v>4.6878787878787875</v>
      </c>
      <c r="S49" s="399">
        <f t="shared" si="11"/>
        <v>5.2757575757575754</v>
      </c>
      <c r="T49" s="399">
        <f t="shared" si="11"/>
        <v>3.3616161616161615</v>
      </c>
      <c r="U49" s="399">
        <f t="shared" si="11"/>
        <v>3.904040404040404</v>
      </c>
      <c r="V49" s="399">
        <f t="shared" si="11"/>
        <v>2.4848484848484849</v>
      </c>
      <c r="W49" s="399">
        <f t="shared" si="11"/>
        <v>2.985858585858586</v>
      </c>
      <c r="X49" s="399">
        <f t="shared" si="11"/>
        <v>2.7818181818181817</v>
      </c>
      <c r="Y49" s="399">
        <f t="shared" si="11"/>
        <v>2.6797979797979798</v>
      </c>
      <c r="Z49" s="399">
        <f t="shared" si="11"/>
        <v>2.5464646464646465</v>
      </c>
      <c r="AA49" s="399">
        <f t="shared" si="11"/>
        <v>2.3444444444444446</v>
      </c>
      <c r="AB49" s="399">
        <f t="shared" si="11"/>
        <v>2.0050454086781029</v>
      </c>
      <c r="AC49" s="399">
        <f t="shared" si="11"/>
        <v>0.3951322822469493</v>
      </c>
    </row>
    <row r="50" spans="2:29" s="398" customFormat="1" hidden="1">
      <c r="B50" s="396" t="s">
        <v>70</v>
      </c>
      <c r="C50" s="399"/>
      <c r="D50" s="399">
        <f t="shared" ref="D50:AC50" si="12">MIN(D18,ROUND(D49*D48,0))</f>
        <v>0</v>
      </c>
      <c r="E50" s="399">
        <f t="shared" si="12"/>
        <v>832</v>
      </c>
      <c r="F50" s="399">
        <f t="shared" si="12"/>
        <v>1211</v>
      </c>
      <c r="G50" s="399">
        <f t="shared" si="12"/>
        <v>2055</v>
      </c>
      <c r="H50" s="399">
        <f t="shared" si="12"/>
        <v>2362</v>
      </c>
      <c r="I50" s="399">
        <f t="shared" si="12"/>
        <v>2471</v>
      </c>
      <c r="J50" s="399">
        <f t="shared" si="12"/>
        <v>2047</v>
      </c>
      <c r="K50" s="399">
        <f t="shared" si="12"/>
        <v>1996</v>
      </c>
      <c r="L50" s="399">
        <f t="shared" si="12"/>
        <v>1467</v>
      </c>
      <c r="M50" s="399">
        <f t="shared" si="12"/>
        <v>1484</v>
      </c>
      <c r="N50" s="399">
        <f t="shared" si="12"/>
        <v>1002</v>
      </c>
      <c r="O50" s="399">
        <f t="shared" si="12"/>
        <v>1121</v>
      </c>
      <c r="P50" s="399">
        <f t="shared" si="12"/>
        <v>743</v>
      </c>
      <c r="Q50" s="399">
        <f t="shared" si="12"/>
        <v>867</v>
      </c>
      <c r="R50" s="399">
        <f t="shared" si="12"/>
        <v>581</v>
      </c>
      <c r="S50" s="399">
        <f t="shared" si="12"/>
        <v>707</v>
      </c>
      <c r="T50" s="399">
        <f t="shared" si="12"/>
        <v>481</v>
      </c>
      <c r="U50" s="399">
        <f t="shared" si="12"/>
        <v>597</v>
      </c>
      <c r="V50" s="399">
        <f t="shared" si="12"/>
        <v>405</v>
      </c>
      <c r="W50" s="399">
        <f t="shared" si="12"/>
        <v>517</v>
      </c>
      <c r="X50" s="399">
        <f t="shared" si="12"/>
        <v>509</v>
      </c>
      <c r="Y50" s="399">
        <f t="shared" si="12"/>
        <v>520</v>
      </c>
      <c r="Z50" s="399">
        <f t="shared" si="12"/>
        <v>519</v>
      </c>
      <c r="AA50" s="399">
        <f t="shared" si="12"/>
        <v>502</v>
      </c>
      <c r="AB50" s="399">
        <f t="shared" si="12"/>
        <v>449</v>
      </c>
      <c r="AC50" s="399">
        <f t="shared" si="12"/>
        <v>92</v>
      </c>
    </row>
    <row r="51" spans="2:29" s="398" customFormat="1" hidden="1">
      <c r="B51" s="396" t="s">
        <v>74</v>
      </c>
      <c r="C51" s="399">
        <f>D50-C50</f>
        <v>0</v>
      </c>
      <c r="D51" s="399">
        <f>E50-D50</f>
        <v>832</v>
      </c>
      <c r="E51" s="399">
        <f t="shared" ref="E51:AC51" si="13">F50-E50</f>
        <v>379</v>
      </c>
      <c r="F51" s="399">
        <f t="shared" si="13"/>
        <v>844</v>
      </c>
      <c r="G51" s="399">
        <f t="shared" si="13"/>
        <v>307</v>
      </c>
      <c r="H51" s="399">
        <f t="shared" si="13"/>
        <v>109</v>
      </c>
      <c r="I51" s="399">
        <f t="shared" si="13"/>
        <v>-424</v>
      </c>
      <c r="J51" s="399">
        <f t="shared" si="13"/>
        <v>-51</v>
      </c>
      <c r="K51" s="399">
        <f t="shared" si="13"/>
        <v>-529</v>
      </c>
      <c r="L51" s="399">
        <f t="shared" si="13"/>
        <v>17</v>
      </c>
      <c r="M51" s="399">
        <f t="shared" si="13"/>
        <v>-482</v>
      </c>
      <c r="N51" s="399">
        <f t="shared" si="13"/>
        <v>119</v>
      </c>
      <c r="O51" s="399">
        <f t="shared" si="13"/>
        <v>-378</v>
      </c>
      <c r="P51" s="399">
        <f t="shared" si="13"/>
        <v>124</v>
      </c>
      <c r="Q51" s="399">
        <f t="shared" si="13"/>
        <v>-286</v>
      </c>
      <c r="R51" s="399">
        <f t="shared" si="13"/>
        <v>126</v>
      </c>
      <c r="S51" s="399">
        <f t="shared" si="13"/>
        <v>-226</v>
      </c>
      <c r="T51" s="399">
        <f t="shared" si="13"/>
        <v>116</v>
      </c>
      <c r="U51" s="399">
        <f t="shared" si="13"/>
        <v>-192</v>
      </c>
      <c r="V51" s="399">
        <f t="shared" si="13"/>
        <v>112</v>
      </c>
      <c r="W51" s="399">
        <f t="shared" si="13"/>
        <v>-8</v>
      </c>
      <c r="X51" s="399">
        <f t="shared" si="13"/>
        <v>11</v>
      </c>
      <c r="Y51" s="399">
        <f t="shared" si="13"/>
        <v>-1</v>
      </c>
      <c r="Z51" s="399">
        <f t="shared" si="13"/>
        <v>-17</v>
      </c>
      <c r="AA51" s="399">
        <f t="shared" si="13"/>
        <v>-53</v>
      </c>
      <c r="AB51" s="399">
        <f t="shared" si="13"/>
        <v>-357</v>
      </c>
      <c r="AC51" s="399">
        <f t="shared" si="13"/>
        <v>-92</v>
      </c>
    </row>
    <row r="52" spans="2:29" s="398" customFormat="1" hidden="1">
      <c r="B52" s="396"/>
      <c r="C52" s="399"/>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row>
    <row r="53" spans="2:29" s="398" customFormat="1" hidden="1">
      <c r="B53" s="396" t="s">
        <v>72</v>
      </c>
      <c r="D53" s="399"/>
      <c r="E53" s="399"/>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399"/>
    </row>
    <row r="54" spans="2:29" s="398" customFormat="1" hidden="1">
      <c r="B54" s="396" t="s">
        <v>73</v>
      </c>
      <c r="C54" s="399">
        <f>C47</f>
        <v>0</v>
      </c>
      <c r="D54" s="399">
        <f>D37</f>
        <v>993</v>
      </c>
      <c r="E54" s="399">
        <f t="shared" ref="E54:AC54" si="14">E37</f>
        <v>1990</v>
      </c>
      <c r="F54" s="399">
        <f t="shared" si="14"/>
        <v>2982</v>
      </c>
      <c r="G54" s="399">
        <f t="shared" si="14"/>
        <v>3973</v>
      </c>
      <c r="H54" s="399">
        <f t="shared" si="14"/>
        <v>4964</v>
      </c>
      <c r="I54" s="399">
        <f t="shared" si="14"/>
        <v>5955</v>
      </c>
      <c r="J54" s="399">
        <f t="shared" si="14"/>
        <v>6946</v>
      </c>
      <c r="K54" s="399">
        <f t="shared" si="14"/>
        <v>7936</v>
      </c>
      <c r="L54" s="399">
        <f t="shared" si="14"/>
        <v>8926</v>
      </c>
      <c r="M54" s="399">
        <f t="shared" si="14"/>
        <v>9917</v>
      </c>
      <c r="N54" s="399">
        <f t="shared" si="14"/>
        <v>10907</v>
      </c>
      <c r="O54" s="399">
        <f t="shared" si="14"/>
        <v>11897</v>
      </c>
      <c r="P54" s="399">
        <f t="shared" si="14"/>
        <v>12887</v>
      </c>
      <c r="Q54" s="399">
        <f t="shared" si="14"/>
        <v>13878</v>
      </c>
      <c r="R54" s="399">
        <f t="shared" si="14"/>
        <v>14868</v>
      </c>
      <c r="S54" s="399">
        <f t="shared" si="14"/>
        <v>15858</v>
      </c>
      <c r="T54" s="399">
        <f t="shared" si="14"/>
        <v>16848</v>
      </c>
      <c r="U54" s="399">
        <f t="shared" si="14"/>
        <v>17838</v>
      </c>
      <c r="V54" s="399">
        <f t="shared" si="14"/>
        <v>18828</v>
      </c>
      <c r="W54" s="399">
        <f t="shared" si="14"/>
        <v>19818</v>
      </c>
      <c r="X54" s="399">
        <f t="shared" si="14"/>
        <v>20808</v>
      </c>
      <c r="Y54" s="399">
        <f t="shared" si="14"/>
        <v>21798</v>
      </c>
      <c r="Z54" s="399">
        <f t="shared" si="14"/>
        <v>22788</v>
      </c>
      <c r="AA54" s="399">
        <f t="shared" si="14"/>
        <v>23778</v>
      </c>
      <c r="AB54" s="399">
        <f t="shared" si="14"/>
        <v>24769</v>
      </c>
      <c r="AC54" s="399">
        <f t="shared" si="14"/>
        <v>54516</v>
      </c>
    </row>
    <row r="55" spans="2:29" s="398" customFormat="1" hidden="1">
      <c r="B55" s="396" t="s">
        <v>75</v>
      </c>
      <c r="C55" s="399">
        <f t="shared" ref="C55:AC55" si="15">IF(C54&gt;C17,C54-C17,0)</f>
        <v>0</v>
      </c>
      <c r="D55" s="399">
        <f t="shared" si="15"/>
        <v>0</v>
      </c>
      <c r="E55" s="399">
        <f t="shared" si="15"/>
        <v>0</v>
      </c>
      <c r="F55" s="399">
        <f t="shared" si="15"/>
        <v>0</v>
      </c>
      <c r="G55" s="399">
        <f t="shared" si="15"/>
        <v>0</v>
      </c>
      <c r="H55" s="399">
        <f t="shared" si="15"/>
        <v>0</v>
      </c>
      <c r="I55" s="399">
        <f t="shared" si="15"/>
        <v>0</v>
      </c>
      <c r="J55" s="399">
        <f t="shared" si="15"/>
        <v>0</v>
      </c>
      <c r="K55" s="399">
        <f t="shared" si="15"/>
        <v>0</v>
      </c>
      <c r="L55" s="399">
        <f t="shared" si="15"/>
        <v>0</v>
      </c>
      <c r="M55" s="399">
        <f t="shared" si="15"/>
        <v>0</v>
      </c>
      <c r="N55" s="399">
        <f t="shared" si="15"/>
        <v>0</v>
      </c>
      <c r="O55" s="399">
        <f t="shared" si="15"/>
        <v>0</v>
      </c>
      <c r="P55" s="399">
        <f t="shared" si="15"/>
        <v>0</v>
      </c>
      <c r="Q55" s="399">
        <f t="shared" si="15"/>
        <v>0</v>
      </c>
      <c r="R55" s="399">
        <f t="shared" si="15"/>
        <v>0</v>
      </c>
      <c r="S55" s="399">
        <f t="shared" si="15"/>
        <v>0</v>
      </c>
      <c r="T55" s="399">
        <f t="shared" si="15"/>
        <v>0</v>
      </c>
      <c r="U55" s="399">
        <f t="shared" si="15"/>
        <v>0</v>
      </c>
      <c r="V55" s="399">
        <f t="shared" si="15"/>
        <v>0</v>
      </c>
      <c r="W55" s="399">
        <f t="shared" si="15"/>
        <v>0</v>
      </c>
      <c r="X55" s="399">
        <f t="shared" si="15"/>
        <v>0</v>
      </c>
      <c r="Y55" s="399">
        <f t="shared" si="15"/>
        <v>0</v>
      </c>
      <c r="Z55" s="399">
        <f t="shared" si="15"/>
        <v>0</v>
      </c>
      <c r="AA55" s="399">
        <f t="shared" si="15"/>
        <v>0</v>
      </c>
      <c r="AB55" s="399">
        <f t="shared" si="15"/>
        <v>0</v>
      </c>
      <c r="AC55" s="399">
        <f t="shared" si="15"/>
        <v>0</v>
      </c>
    </row>
    <row r="56" spans="2:29" s="398" customFormat="1" hidden="1">
      <c r="B56" s="396" t="s">
        <v>71</v>
      </c>
      <c r="C56" s="399">
        <f t="shared" ref="C56:AC56" si="16">IF(C55&gt;0,C38,0)</f>
        <v>0</v>
      </c>
      <c r="D56" s="399">
        <f t="shared" si="16"/>
        <v>0</v>
      </c>
      <c r="E56" s="399">
        <f t="shared" si="16"/>
        <v>0</v>
      </c>
      <c r="F56" s="399">
        <f t="shared" si="16"/>
        <v>0</v>
      </c>
      <c r="G56" s="399">
        <f t="shared" si="16"/>
        <v>0</v>
      </c>
      <c r="H56" s="399">
        <f t="shared" si="16"/>
        <v>0</v>
      </c>
      <c r="I56" s="399">
        <f t="shared" si="16"/>
        <v>0</v>
      </c>
      <c r="J56" s="399">
        <f t="shared" si="16"/>
        <v>0</v>
      </c>
      <c r="K56" s="399">
        <f t="shared" si="16"/>
        <v>0</v>
      </c>
      <c r="L56" s="399">
        <f t="shared" si="16"/>
        <v>0</v>
      </c>
      <c r="M56" s="399">
        <f t="shared" si="16"/>
        <v>0</v>
      </c>
      <c r="N56" s="399">
        <f t="shared" si="16"/>
        <v>0</v>
      </c>
      <c r="O56" s="399">
        <f t="shared" si="16"/>
        <v>0</v>
      </c>
      <c r="P56" s="399">
        <f t="shared" si="16"/>
        <v>0</v>
      </c>
      <c r="Q56" s="399">
        <f t="shared" si="16"/>
        <v>0</v>
      </c>
      <c r="R56" s="399">
        <f t="shared" si="16"/>
        <v>0</v>
      </c>
      <c r="S56" s="399">
        <f t="shared" si="16"/>
        <v>0</v>
      </c>
      <c r="T56" s="399">
        <f t="shared" si="16"/>
        <v>0</v>
      </c>
      <c r="U56" s="399">
        <f t="shared" si="16"/>
        <v>0</v>
      </c>
      <c r="V56" s="399">
        <f t="shared" si="16"/>
        <v>0</v>
      </c>
      <c r="W56" s="399">
        <f t="shared" si="16"/>
        <v>0</v>
      </c>
      <c r="X56" s="399">
        <f t="shared" si="16"/>
        <v>0</v>
      </c>
      <c r="Y56" s="399">
        <f t="shared" si="16"/>
        <v>0</v>
      </c>
      <c r="Z56" s="399">
        <f t="shared" si="16"/>
        <v>0</v>
      </c>
      <c r="AA56" s="399">
        <f t="shared" si="16"/>
        <v>0</v>
      </c>
      <c r="AB56" s="399">
        <f t="shared" si="16"/>
        <v>0</v>
      </c>
      <c r="AC56" s="399">
        <f t="shared" si="16"/>
        <v>0</v>
      </c>
    </row>
    <row r="57" spans="2:29" s="398" customFormat="1" hidden="1">
      <c r="B57" s="396" t="s">
        <v>70</v>
      </c>
      <c r="C57" s="399">
        <f t="shared" ref="C57:AC57" si="17">MIN(ROUND(C56*C55,0),C18)</f>
        <v>0</v>
      </c>
      <c r="D57" s="399">
        <f t="shared" si="17"/>
        <v>0</v>
      </c>
      <c r="E57" s="399">
        <f t="shared" si="17"/>
        <v>0</v>
      </c>
      <c r="F57" s="399">
        <f t="shared" si="17"/>
        <v>0</v>
      </c>
      <c r="G57" s="399">
        <f t="shared" si="17"/>
        <v>0</v>
      </c>
      <c r="H57" s="399">
        <f t="shared" si="17"/>
        <v>0</v>
      </c>
      <c r="I57" s="399">
        <f t="shared" si="17"/>
        <v>0</v>
      </c>
      <c r="J57" s="399">
        <f t="shared" si="17"/>
        <v>0</v>
      </c>
      <c r="K57" s="399">
        <f t="shared" si="17"/>
        <v>0</v>
      </c>
      <c r="L57" s="399">
        <f t="shared" si="17"/>
        <v>0</v>
      </c>
      <c r="M57" s="399">
        <f t="shared" si="17"/>
        <v>0</v>
      </c>
      <c r="N57" s="399">
        <f t="shared" si="17"/>
        <v>0</v>
      </c>
      <c r="O57" s="399">
        <f t="shared" si="17"/>
        <v>0</v>
      </c>
      <c r="P57" s="399">
        <f t="shared" si="17"/>
        <v>0</v>
      </c>
      <c r="Q57" s="399">
        <f t="shared" si="17"/>
        <v>0</v>
      </c>
      <c r="R57" s="399">
        <f t="shared" si="17"/>
        <v>0</v>
      </c>
      <c r="S57" s="399">
        <f t="shared" si="17"/>
        <v>0</v>
      </c>
      <c r="T57" s="399">
        <f t="shared" si="17"/>
        <v>0</v>
      </c>
      <c r="U57" s="399">
        <f t="shared" si="17"/>
        <v>0</v>
      </c>
      <c r="V57" s="399">
        <f t="shared" si="17"/>
        <v>0</v>
      </c>
      <c r="W57" s="399">
        <f t="shared" si="17"/>
        <v>0</v>
      </c>
      <c r="X57" s="399">
        <f t="shared" si="17"/>
        <v>0</v>
      </c>
      <c r="Y57" s="399">
        <f t="shared" si="17"/>
        <v>0</v>
      </c>
      <c r="Z57" s="399">
        <f t="shared" si="17"/>
        <v>0</v>
      </c>
      <c r="AA57" s="399">
        <f t="shared" si="17"/>
        <v>0</v>
      </c>
      <c r="AB57" s="399">
        <f t="shared" si="17"/>
        <v>0</v>
      </c>
      <c r="AC57" s="399">
        <f t="shared" si="17"/>
        <v>0</v>
      </c>
    </row>
    <row r="58" spans="2:29" s="398" customFormat="1" hidden="1">
      <c r="B58" s="396" t="s">
        <v>74</v>
      </c>
      <c r="C58" s="399"/>
      <c r="D58" s="399">
        <f>-D57+C57</f>
        <v>0</v>
      </c>
      <c r="E58" s="399">
        <f t="shared" ref="E58:AB58" si="18">-E57+D57</f>
        <v>0</v>
      </c>
      <c r="F58" s="399">
        <f t="shared" si="18"/>
        <v>0</v>
      </c>
      <c r="G58" s="399">
        <f t="shared" si="18"/>
        <v>0</v>
      </c>
      <c r="H58" s="399">
        <f>-H57+G57</f>
        <v>0</v>
      </c>
      <c r="I58" s="399">
        <f>-I57+H57</f>
        <v>0</v>
      </c>
      <c r="J58" s="399">
        <f t="shared" si="18"/>
        <v>0</v>
      </c>
      <c r="K58" s="399">
        <f t="shared" si="18"/>
        <v>0</v>
      </c>
      <c r="L58" s="399">
        <f t="shared" si="18"/>
        <v>0</v>
      </c>
      <c r="M58" s="399">
        <f t="shared" si="18"/>
        <v>0</v>
      </c>
      <c r="N58" s="399">
        <f t="shared" si="18"/>
        <v>0</v>
      </c>
      <c r="O58" s="399">
        <f t="shared" si="18"/>
        <v>0</v>
      </c>
      <c r="P58" s="399">
        <f t="shared" si="18"/>
        <v>0</v>
      </c>
      <c r="Q58" s="399">
        <f t="shared" si="18"/>
        <v>0</v>
      </c>
      <c r="R58" s="399">
        <f t="shared" si="18"/>
        <v>0</v>
      </c>
      <c r="S58" s="399">
        <f t="shared" si="18"/>
        <v>0</v>
      </c>
      <c r="T58" s="399">
        <f>-T57+S57</f>
        <v>0</v>
      </c>
      <c r="U58" s="399">
        <f t="shared" si="18"/>
        <v>0</v>
      </c>
      <c r="V58" s="399">
        <f>-V57+U57</f>
        <v>0</v>
      </c>
      <c r="W58" s="399">
        <f t="shared" si="18"/>
        <v>0</v>
      </c>
      <c r="X58" s="399">
        <f t="shared" si="18"/>
        <v>0</v>
      </c>
      <c r="Y58" s="399">
        <f t="shared" si="18"/>
        <v>0</v>
      </c>
      <c r="Z58" s="399">
        <f>-Z57+Y57</f>
        <v>0</v>
      </c>
      <c r="AA58" s="399">
        <f t="shared" si="18"/>
        <v>0</v>
      </c>
      <c r="AB58" s="399">
        <f t="shared" si="18"/>
        <v>0</v>
      </c>
      <c r="AC58" s="399">
        <f>AB57</f>
        <v>0</v>
      </c>
    </row>
    <row r="59" spans="2:29" s="398" customFormat="1" hidden="1">
      <c r="B59" s="396"/>
      <c r="C59" s="399"/>
      <c r="D59" s="399"/>
      <c r="E59" s="399"/>
      <c r="F59" s="399"/>
      <c r="G59" s="399"/>
      <c r="H59" s="399"/>
      <c r="I59" s="399"/>
      <c r="J59" s="399"/>
      <c r="K59" s="399"/>
      <c r="L59" s="399"/>
      <c r="M59" s="399"/>
      <c r="N59" s="399"/>
      <c r="O59" s="399"/>
      <c r="P59" s="399"/>
      <c r="Q59" s="399"/>
      <c r="R59" s="399"/>
      <c r="S59" s="399"/>
      <c r="T59" s="399"/>
      <c r="U59" s="399"/>
      <c r="V59" s="399"/>
      <c r="W59" s="399"/>
      <c r="X59" s="399"/>
      <c r="Y59" s="399"/>
      <c r="Z59" s="399"/>
      <c r="AA59" s="399"/>
      <c r="AB59" s="399"/>
      <c r="AC59" s="399"/>
    </row>
    <row r="60" spans="2:29" s="398" customFormat="1" hidden="1">
      <c r="B60" s="396" t="s">
        <v>77</v>
      </c>
      <c r="C60" s="399">
        <f t="shared" ref="C60:AC60" si="19">C15</f>
        <v>0</v>
      </c>
      <c r="D60" s="399">
        <f t="shared" si="19"/>
        <v>1</v>
      </c>
      <c r="E60" s="399">
        <f t="shared" si="19"/>
        <v>1001</v>
      </c>
      <c r="F60" s="399">
        <f t="shared" si="19"/>
        <v>2001</v>
      </c>
      <c r="G60" s="399">
        <f t="shared" si="19"/>
        <v>3001</v>
      </c>
      <c r="H60" s="399">
        <f t="shared" si="19"/>
        <v>4001</v>
      </c>
      <c r="I60" s="399">
        <f t="shared" si="19"/>
        <v>5001</v>
      </c>
      <c r="J60" s="399">
        <f t="shared" si="19"/>
        <v>6001</v>
      </c>
      <c r="K60" s="399">
        <f t="shared" si="19"/>
        <v>7001</v>
      </c>
      <c r="L60" s="399">
        <f t="shared" si="19"/>
        <v>8001</v>
      </c>
      <c r="M60" s="399">
        <f t="shared" si="19"/>
        <v>9001</v>
      </c>
      <c r="N60" s="399">
        <f t="shared" si="19"/>
        <v>10001</v>
      </c>
      <c r="O60" s="399">
        <f t="shared" si="19"/>
        <v>11001</v>
      </c>
      <c r="P60" s="399">
        <f t="shared" si="19"/>
        <v>12001</v>
      </c>
      <c r="Q60" s="399">
        <f t="shared" si="19"/>
        <v>13001</v>
      </c>
      <c r="R60" s="399">
        <f t="shared" si="19"/>
        <v>14001</v>
      </c>
      <c r="S60" s="399">
        <f t="shared" si="19"/>
        <v>15001</v>
      </c>
      <c r="T60" s="399">
        <f t="shared" si="19"/>
        <v>16001</v>
      </c>
      <c r="U60" s="399">
        <f t="shared" si="19"/>
        <v>17001</v>
      </c>
      <c r="V60" s="399">
        <f t="shared" si="19"/>
        <v>18001</v>
      </c>
      <c r="W60" s="399">
        <f t="shared" si="19"/>
        <v>19001</v>
      </c>
      <c r="X60" s="399">
        <f t="shared" si="19"/>
        <v>20001</v>
      </c>
      <c r="Y60" s="399">
        <f t="shared" si="19"/>
        <v>21001</v>
      </c>
      <c r="Z60" s="399">
        <f t="shared" si="19"/>
        <v>22001</v>
      </c>
      <c r="AA60" s="399">
        <f t="shared" si="19"/>
        <v>23001</v>
      </c>
      <c r="AB60" s="399">
        <f t="shared" si="19"/>
        <v>24001</v>
      </c>
      <c r="AC60" s="399">
        <f t="shared" si="19"/>
        <v>25001</v>
      </c>
    </row>
    <row r="61" spans="2:29" s="398" customFormat="1" hidden="1">
      <c r="B61" s="396" t="s">
        <v>59</v>
      </c>
      <c r="C61" s="399" t="str">
        <f t="shared" ref="C61:AC61" si="20">C16</f>
        <v>to</v>
      </c>
      <c r="D61" s="399" t="str">
        <f t="shared" si="20"/>
        <v>to</v>
      </c>
      <c r="E61" s="399" t="str">
        <f t="shared" si="20"/>
        <v>to</v>
      </c>
      <c r="F61" s="399" t="str">
        <f t="shared" si="20"/>
        <v>to</v>
      </c>
      <c r="G61" s="399" t="str">
        <f t="shared" si="20"/>
        <v>to</v>
      </c>
      <c r="H61" s="399" t="str">
        <f t="shared" si="20"/>
        <v>to</v>
      </c>
      <c r="I61" s="399" t="str">
        <f t="shared" si="20"/>
        <v>to</v>
      </c>
      <c r="J61" s="399" t="str">
        <f t="shared" si="20"/>
        <v>to</v>
      </c>
      <c r="K61" s="399" t="str">
        <f t="shared" si="20"/>
        <v>to</v>
      </c>
      <c r="L61" s="399" t="str">
        <f t="shared" si="20"/>
        <v>to</v>
      </c>
      <c r="M61" s="399" t="str">
        <f t="shared" si="20"/>
        <v>to</v>
      </c>
      <c r="N61" s="399" t="str">
        <f t="shared" si="20"/>
        <v>to</v>
      </c>
      <c r="O61" s="399" t="str">
        <f t="shared" si="20"/>
        <v>to</v>
      </c>
      <c r="P61" s="399" t="str">
        <f t="shared" si="20"/>
        <v>to</v>
      </c>
      <c r="Q61" s="399" t="str">
        <f t="shared" si="20"/>
        <v>to</v>
      </c>
      <c r="R61" s="399" t="str">
        <f t="shared" si="20"/>
        <v>to</v>
      </c>
      <c r="S61" s="399" t="str">
        <f t="shared" si="20"/>
        <v>to</v>
      </c>
      <c r="T61" s="399" t="str">
        <f t="shared" si="20"/>
        <v>to</v>
      </c>
      <c r="U61" s="399" t="str">
        <f t="shared" si="20"/>
        <v>to</v>
      </c>
      <c r="V61" s="399" t="str">
        <f t="shared" si="20"/>
        <v>to</v>
      </c>
      <c r="W61" s="399" t="str">
        <f t="shared" si="20"/>
        <v>to</v>
      </c>
      <c r="X61" s="399" t="str">
        <f t="shared" si="20"/>
        <v>to</v>
      </c>
      <c r="Y61" s="399" t="str">
        <f t="shared" si="20"/>
        <v>to</v>
      </c>
      <c r="Z61" s="399" t="str">
        <f t="shared" si="20"/>
        <v>to</v>
      </c>
      <c r="AA61" s="399" t="str">
        <f t="shared" si="20"/>
        <v>to</v>
      </c>
      <c r="AB61" s="399" t="str">
        <f t="shared" si="20"/>
        <v>to</v>
      </c>
      <c r="AC61" s="399" t="str">
        <f t="shared" si="20"/>
        <v>to</v>
      </c>
    </row>
    <row r="62" spans="2:29" s="398" customFormat="1" hidden="1">
      <c r="B62" s="396" t="s">
        <v>78</v>
      </c>
      <c r="C62" s="399">
        <f t="shared" ref="C62:AC62" si="21">C17</f>
        <v>0</v>
      </c>
      <c r="D62" s="399">
        <f t="shared" si="21"/>
        <v>1000</v>
      </c>
      <c r="E62" s="399">
        <f t="shared" si="21"/>
        <v>2000</v>
      </c>
      <c r="F62" s="399">
        <f t="shared" si="21"/>
        <v>3000</v>
      </c>
      <c r="G62" s="399">
        <f t="shared" si="21"/>
        <v>4000</v>
      </c>
      <c r="H62" s="399">
        <f t="shared" si="21"/>
        <v>5000</v>
      </c>
      <c r="I62" s="399">
        <f t="shared" si="21"/>
        <v>6000</v>
      </c>
      <c r="J62" s="399">
        <f t="shared" si="21"/>
        <v>7000</v>
      </c>
      <c r="K62" s="399">
        <f t="shared" si="21"/>
        <v>8000</v>
      </c>
      <c r="L62" s="399">
        <f t="shared" si="21"/>
        <v>9000</v>
      </c>
      <c r="M62" s="399">
        <f t="shared" si="21"/>
        <v>10000</v>
      </c>
      <c r="N62" s="399">
        <f t="shared" si="21"/>
        <v>11000</v>
      </c>
      <c r="O62" s="399">
        <f t="shared" si="21"/>
        <v>12000</v>
      </c>
      <c r="P62" s="399">
        <f t="shared" si="21"/>
        <v>13000</v>
      </c>
      <c r="Q62" s="399">
        <f t="shared" si="21"/>
        <v>14000</v>
      </c>
      <c r="R62" s="399">
        <f t="shared" si="21"/>
        <v>15000</v>
      </c>
      <c r="S62" s="399">
        <f t="shared" si="21"/>
        <v>16000</v>
      </c>
      <c r="T62" s="399">
        <f t="shared" si="21"/>
        <v>17000</v>
      </c>
      <c r="U62" s="399">
        <f t="shared" si="21"/>
        <v>18000</v>
      </c>
      <c r="V62" s="399">
        <f t="shared" si="21"/>
        <v>19000</v>
      </c>
      <c r="W62" s="399">
        <f t="shared" si="21"/>
        <v>20000</v>
      </c>
      <c r="X62" s="399">
        <f t="shared" si="21"/>
        <v>21000</v>
      </c>
      <c r="Y62" s="399">
        <f t="shared" si="21"/>
        <v>22000</v>
      </c>
      <c r="Z62" s="399">
        <f t="shared" si="21"/>
        <v>23000</v>
      </c>
      <c r="AA62" s="399">
        <f t="shared" si="21"/>
        <v>24000</v>
      </c>
      <c r="AB62" s="399">
        <f t="shared" si="21"/>
        <v>25000</v>
      </c>
      <c r="AC62" s="399">
        <f t="shared" si="21"/>
        <v>55000</v>
      </c>
    </row>
    <row r="63" spans="2:29" s="398" customFormat="1" hidden="1">
      <c r="B63" s="396" t="s">
        <v>79</v>
      </c>
      <c r="C63" s="399">
        <f t="shared" ref="C63:AC63" si="22">C18+C51+C58</f>
        <v>67031</v>
      </c>
      <c r="D63" s="399">
        <f t="shared" si="22"/>
        <v>83886</v>
      </c>
      <c r="E63" s="399">
        <f t="shared" si="22"/>
        <v>118817</v>
      </c>
      <c r="F63" s="399">
        <f t="shared" si="22"/>
        <v>120959</v>
      </c>
      <c r="G63" s="399">
        <f t="shared" si="22"/>
        <v>113449</v>
      </c>
      <c r="H63" s="399">
        <f t="shared" si="22"/>
        <v>86802</v>
      </c>
      <c r="I63" s="399">
        <f t="shared" si="22"/>
        <v>67589</v>
      </c>
      <c r="J63" s="399">
        <f t="shared" si="22"/>
        <v>45036</v>
      </c>
      <c r="K63" s="399">
        <f t="shared" si="22"/>
        <v>35390</v>
      </c>
      <c r="L63" s="399">
        <f t="shared" si="22"/>
        <v>22362</v>
      </c>
      <c r="M63" s="399">
        <f t="shared" si="22"/>
        <v>19388</v>
      </c>
      <c r="N63" s="399">
        <f t="shared" si="22"/>
        <v>11932</v>
      </c>
      <c r="O63" s="399">
        <f t="shared" si="22"/>
        <v>11433</v>
      </c>
      <c r="P63" s="399">
        <f t="shared" si="22"/>
        <v>7199</v>
      </c>
      <c r="Q63" s="399">
        <f t="shared" si="22"/>
        <v>7247</v>
      </c>
      <c r="R63" s="399">
        <f t="shared" si="22"/>
        <v>4767</v>
      </c>
      <c r="S63" s="399">
        <f t="shared" si="22"/>
        <v>4997</v>
      </c>
      <c r="T63" s="399">
        <f t="shared" si="22"/>
        <v>3444</v>
      </c>
      <c r="U63" s="399">
        <f t="shared" si="22"/>
        <v>3673</v>
      </c>
      <c r="V63" s="399">
        <f t="shared" si="22"/>
        <v>2572</v>
      </c>
      <c r="W63" s="399">
        <f t="shared" si="22"/>
        <v>2948</v>
      </c>
      <c r="X63" s="399">
        <f t="shared" si="22"/>
        <v>2765</v>
      </c>
      <c r="Y63" s="399">
        <f t="shared" si="22"/>
        <v>2652</v>
      </c>
      <c r="Z63" s="399">
        <f t="shared" si="22"/>
        <v>2504</v>
      </c>
      <c r="AA63" s="399">
        <f t="shared" si="22"/>
        <v>2268</v>
      </c>
      <c r="AB63" s="399">
        <f t="shared" si="22"/>
        <v>1630</v>
      </c>
      <c r="AC63" s="399">
        <f t="shared" si="22"/>
        <v>11662</v>
      </c>
    </row>
    <row r="64" spans="2:29" s="398" customFormat="1" hidden="1">
      <c r="B64" s="396" t="s">
        <v>80</v>
      </c>
      <c r="C64" s="400">
        <f>SUM(C63:AC63)-$C$20</f>
        <v>0</v>
      </c>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row>
    <row r="65" spans="2:29" s="398" customFormat="1" hidden="1">
      <c r="B65" s="396"/>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row>
    <row r="66" spans="2:29" s="398" customFormat="1" hidden="1">
      <c r="B66" s="396" t="s">
        <v>81</v>
      </c>
      <c r="C66" s="399">
        <f t="shared" ref="C66:AC66" si="23">C18</f>
        <v>67031</v>
      </c>
      <c r="D66" s="399">
        <f t="shared" si="23"/>
        <v>83054</v>
      </c>
      <c r="E66" s="399">
        <f t="shared" si="23"/>
        <v>118438</v>
      </c>
      <c r="F66" s="399">
        <f t="shared" si="23"/>
        <v>120115</v>
      </c>
      <c r="G66" s="399">
        <f t="shared" si="23"/>
        <v>113142</v>
      </c>
      <c r="H66" s="399">
        <f t="shared" si="23"/>
        <v>86693</v>
      </c>
      <c r="I66" s="399">
        <f t="shared" si="23"/>
        <v>68013</v>
      </c>
      <c r="J66" s="399">
        <f t="shared" si="23"/>
        <v>45087</v>
      </c>
      <c r="K66" s="399">
        <f t="shared" si="23"/>
        <v>35919</v>
      </c>
      <c r="L66" s="399">
        <f t="shared" si="23"/>
        <v>22345</v>
      </c>
      <c r="M66" s="399">
        <f t="shared" si="23"/>
        <v>19870</v>
      </c>
      <c r="N66" s="399">
        <f t="shared" si="23"/>
        <v>11813</v>
      </c>
      <c r="O66" s="399">
        <f t="shared" si="23"/>
        <v>11811</v>
      </c>
      <c r="P66" s="399">
        <f t="shared" si="23"/>
        <v>7075</v>
      </c>
      <c r="Q66" s="399">
        <f t="shared" si="23"/>
        <v>7533</v>
      </c>
      <c r="R66" s="399">
        <f t="shared" si="23"/>
        <v>4641</v>
      </c>
      <c r="S66" s="399">
        <f t="shared" si="23"/>
        <v>5223</v>
      </c>
      <c r="T66" s="399">
        <f t="shared" si="23"/>
        <v>3328</v>
      </c>
      <c r="U66" s="399">
        <f t="shared" si="23"/>
        <v>3865</v>
      </c>
      <c r="V66" s="399">
        <f t="shared" si="23"/>
        <v>2460</v>
      </c>
      <c r="W66" s="399">
        <f t="shared" si="23"/>
        <v>2956</v>
      </c>
      <c r="X66" s="399">
        <f t="shared" si="23"/>
        <v>2754</v>
      </c>
      <c r="Y66" s="399">
        <f t="shared" si="23"/>
        <v>2653</v>
      </c>
      <c r="Z66" s="399">
        <f t="shared" si="23"/>
        <v>2521</v>
      </c>
      <c r="AA66" s="399">
        <f t="shared" si="23"/>
        <v>2321</v>
      </c>
      <c r="AB66" s="399">
        <f t="shared" si="23"/>
        <v>1987</v>
      </c>
      <c r="AC66" s="399">
        <f t="shared" si="23"/>
        <v>11754</v>
      </c>
    </row>
    <row r="67" spans="2:29" s="396" customFormat="1" hidden="1">
      <c r="B67" s="396" t="s">
        <v>82</v>
      </c>
      <c r="C67" s="401">
        <f>C63</f>
        <v>67031</v>
      </c>
      <c r="D67" s="401">
        <f t="shared" ref="D67:AC67" si="24">D63</f>
        <v>83886</v>
      </c>
      <c r="E67" s="401">
        <f t="shared" si="24"/>
        <v>118817</v>
      </c>
      <c r="F67" s="401">
        <f t="shared" si="24"/>
        <v>120959</v>
      </c>
      <c r="G67" s="401">
        <f t="shared" si="24"/>
        <v>113449</v>
      </c>
      <c r="H67" s="401">
        <f t="shared" si="24"/>
        <v>86802</v>
      </c>
      <c r="I67" s="401">
        <f t="shared" si="24"/>
        <v>67589</v>
      </c>
      <c r="J67" s="401">
        <f t="shared" si="24"/>
        <v>45036</v>
      </c>
      <c r="K67" s="401">
        <f t="shared" si="24"/>
        <v>35390</v>
      </c>
      <c r="L67" s="401">
        <f t="shared" si="24"/>
        <v>22362</v>
      </c>
      <c r="M67" s="401">
        <f t="shared" si="24"/>
        <v>19388</v>
      </c>
      <c r="N67" s="401">
        <f t="shared" si="24"/>
        <v>11932</v>
      </c>
      <c r="O67" s="401">
        <f t="shared" si="24"/>
        <v>11433</v>
      </c>
      <c r="P67" s="401">
        <f t="shared" si="24"/>
        <v>7199</v>
      </c>
      <c r="Q67" s="401">
        <f t="shared" si="24"/>
        <v>7247</v>
      </c>
      <c r="R67" s="401">
        <f t="shared" si="24"/>
        <v>4767</v>
      </c>
      <c r="S67" s="401">
        <f t="shared" si="24"/>
        <v>4997</v>
      </c>
      <c r="T67" s="401">
        <f t="shared" si="24"/>
        <v>3444</v>
      </c>
      <c r="U67" s="401">
        <f t="shared" si="24"/>
        <v>3673</v>
      </c>
      <c r="V67" s="401">
        <f t="shared" si="24"/>
        <v>2572</v>
      </c>
      <c r="W67" s="401">
        <f t="shared" si="24"/>
        <v>2948</v>
      </c>
      <c r="X67" s="401">
        <f t="shared" si="24"/>
        <v>2765</v>
      </c>
      <c r="Y67" s="401">
        <f t="shared" si="24"/>
        <v>2652</v>
      </c>
      <c r="Z67" s="401">
        <f t="shared" si="24"/>
        <v>2504</v>
      </c>
      <c r="AA67" s="401">
        <f t="shared" si="24"/>
        <v>2268</v>
      </c>
      <c r="AB67" s="401">
        <f t="shared" si="24"/>
        <v>1630</v>
      </c>
      <c r="AC67" s="401">
        <f t="shared" si="24"/>
        <v>11662</v>
      </c>
    </row>
    <row r="68" spans="2:29" s="398" customFormat="1" hidden="1">
      <c r="B68" s="396" t="s">
        <v>83</v>
      </c>
      <c r="C68" s="399">
        <f>C67-C66</f>
        <v>0</v>
      </c>
      <c r="D68" s="399">
        <f t="shared" ref="D68:AC68" si="25">D67-D66</f>
        <v>832</v>
      </c>
      <c r="E68" s="399">
        <f t="shared" si="25"/>
        <v>379</v>
      </c>
      <c r="F68" s="399">
        <f t="shared" si="25"/>
        <v>844</v>
      </c>
      <c r="G68" s="399">
        <f t="shared" si="25"/>
        <v>307</v>
      </c>
      <c r="H68" s="399">
        <f t="shared" si="25"/>
        <v>109</v>
      </c>
      <c r="I68" s="399">
        <f t="shared" si="25"/>
        <v>-424</v>
      </c>
      <c r="J68" s="399">
        <f t="shared" si="25"/>
        <v>-51</v>
      </c>
      <c r="K68" s="399">
        <f t="shared" si="25"/>
        <v>-529</v>
      </c>
      <c r="L68" s="399">
        <f t="shared" si="25"/>
        <v>17</v>
      </c>
      <c r="M68" s="399">
        <f t="shared" si="25"/>
        <v>-482</v>
      </c>
      <c r="N68" s="399">
        <f t="shared" si="25"/>
        <v>119</v>
      </c>
      <c r="O68" s="399">
        <f t="shared" si="25"/>
        <v>-378</v>
      </c>
      <c r="P68" s="399">
        <f t="shared" si="25"/>
        <v>124</v>
      </c>
      <c r="Q68" s="399">
        <f t="shared" si="25"/>
        <v>-286</v>
      </c>
      <c r="R68" s="399">
        <f t="shared" si="25"/>
        <v>126</v>
      </c>
      <c r="S68" s="399">
        <f t="shared" si="25"/>
        <v>-226</v>
      </c>
      <c r="T68" s="399">
        <f t="shared" si="25"/>
        <v>116</v>
      </c>
      <c r="U68" s="399">
        <f t="shared" si="25"/>
        <v>-192</v>
      </c>
      <c r="V68" s="399">
        <f t="shared" si="25"/>
        <v>112</v>
      </c>
      <c r="W68" s="399">
        <f t="shared" si="25"/>
        <v>-8</v>
      </c>
      <c r="X68" s="399">
        <f t="shared" si="25"/>
        <v>11</v>
      </c>
      <c r="Y68" s="399">
        <f t="shared" si="25"/>
        <v>-1</v>
      </c>
      <c r="Z68" s="399">
        <f t="shared" si="25"/>
        <v>-17</v>
      </c>
      <c r="AA68" s="399">
        <f t="shared" si="25"/>
        <v>-53</v>
      </c>
      <c r="AB68" s="399">
        <f t="shared" si="25"/>
        <v>-357</v>
      </c>
      <c r="AC68" s="399">
        <f t="shared" si="25"/>
        <v>-92</v>
      </c>
    </row>
    <row r="69" spans="2:29" s="398" customFormat="1" hidden="1">
      <c r="B69" s="396" t="s">
        <v>80</v>
      </c>
      <c r="C69" s="400">
        <f>SUM(C68:AC68)</f>
        <v>0</v>
      </c>
      <c r="D69" s="399"/>
      <c r="E69" s="399"/>
      <c r="F69" s="399"/>
      <c r="G69" s="399"/>
      <c r="H69" s="399"/>
      <c r="I69" s="399"/>
      <c r="J69" s="399"/>
      <c r="K69" s="399"/>
      <c r="L69" s="399"/>
      <c r="M69" s="399"/>
      <c r="N69" s="399"/>
      <c r="O69" s="399"/>
      <c r="P69" s="399"/>
      <c r="Q69" s="399"/>
      <c r="R69" s="399"/>
      <c r="S69" s="399"/>
      <c r="T69" s="399"/>
      <c r="U69" s="399"/>
      <c r="V69" s="399"/>
      <c r="W69" s="399"/>
      <c r="X69" s="399"/>
      <c r="Y69" s="399"/>
      <c r="Z69" s="399"/>
      <c r="AA69" s="399"/>
      <c r="AB69" s="399"/>
      <c r="AC69" s="399"/>
    </row>
    <row r="70" spans="2:29" hidden="1">
      <c r="B70" s="123"/>
      <c r="C70" s="392"/>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row>
    <row r="71" spans="2:29" s="398" customFormat="1" hidden="1">
      <c r="B71" s="396" t="s">
        <v>65</v>
      </c>
      <c r="C71" s="397">
        <f t="shared" ref="C71:AB71" si="26">HLOOKUP(C44,$C$37:$AC$37,1,TRUE)+1</f>
        <v>1</v>
      </c>
      <c r="D71" s="397">
        <f t="shared" si="26"/>
        <v>994</v>
      </c>
      <c r="E71" s="397">
        <f t="shared" si="26"/>
        <v>1991</v>
      </c>
      <c r="F71" s="397">
        <f t="shared" si="26"/>
        <v>2983</v>
      </c>
      <c r="G71" s="397">
        <f t="shared" si="26"/>
        <v>3974</v>
      </c>
      <c r="H71" s="397">
        <f t="shared" si="26"/>
        <v>4965</v>
      </c>
      <c r="I71" s="397">
        <f t="shared" si="26"/>
        <v>5956</v>
      </c>
      <c r="J71" s="397">
        <f t="shared" si="26"/>
        <v>6947</v>
      </c>
      <c r="K71" s="397">
        <f t="shared" si="26"/>
        <v>7937</v>
      </c>
      <c r="L71" s="397">
        <f t="shared" si="26"/>
        <v>8927</v>
      </c>
      <c r="M71" s="397">
        <f t="shared" si="26"/>
        <v>9918</v>
      </c>
      <c r="N71" s="397">
        <f t="shared" si="26"/>
        <v>10908</v>
      </c>
      <c r="O71" s="397">
        <f t="shared" si="26"/>
        <v>11898</v>
      </c>
      <c r="P71" s="397">
        <f t="shared" si="26"/>
        <v>12888</v>
      </c>
      <c r="Q71" s="397">
        <f t="shared" si="26"/>
        <v>13879</v>
      </c>
      <c r="R71" s="397">
        <f t="shared" si="26"/>
        <v>14869</v>
      </c>
      <c r="S71" s="397">
        <f t="shared" si="26"/>
        <v>15859</v>
      </c>
      <c r="T71" s="397">
        <f t="shared" si="26"/>
        <v>16849</v>
      </c>
      <c r="U71" s="397">
        <f t="shared" si="26"/>
        <v>17839</v>
      </c>
      <c r="V71" s="397">
        <f t="shared" si="26"/>
        <v>18829</v>
      </c>
      <c r="W71" s="397">
        <f t="shared" si="26"/>
        <v>19819</v>
      </c>
      <c r="X71" s="397">
        <f t="shared" si="26"/>
        <v>20809</v>
      </c>
      <c r="Y71" s="397">
        <f t="shared" si="26"/>
        <v>21799</v>
      </c>
      <c r="Z71" s="397">
        <f t="shared" si="26"/>
        <v>22789</v>
      </c>
      <c r="AA71" s="397">
        <f t="shared" si="26"/>
        <v>23779</v>
      </c>
      <c r="AB71" s="397">
        <f t="shared" si="26"/>
        <v>24770</v>
      </c>
      <c r="AC71" s="397">
        <f>AC35</f>
        <v>24770</v>
      </c>
    </row>
    <row r="72" spans="2:29" s="398" customFormat="1" hidden="1">
      <c r="B72" s="396"/>
      <c r="C72" s="397" t="s">
        <v>59</v>
      </c>
      <c r="D72" s="397" t="s">
        <v>59</v>
      </c>
      <c r="E72" s="397" t="s">
        <v>59</v>
      </c>
      <c r="F72" s="397" t="s">
        <v>59</v>
      </c>
      <c r="G72" s="397" t="s">
        <v>59</v>
      </c>
      <c r="H72" s="397" t="s">
        <v>59</v>
      </c>
      <c r="I72" s="397" t="s">
        <v>59</v>
      </c>
      <c r="J72" s="397" t="s">
        <v>59</v>
      </c>
      <c r="K72" s="397" t="s">
        <v>59</v>
      </c>
      <c r="L72" s="397" t="s">
        <v>59</v>
      </c>
      <c r="M72" s="397" t="s">
        <v>59</v>
      </c>
      <c r="N72" s="397" t="s">
        <v>59</v>
      </c>
      <c r="O72" s="397" t="s">
        <v>59</v>
      </c>
      <c r="P72" s="397" t="s">
        <v>59</v>
      </c>
      <c r="Q72" s="397" t="s">
        <v>59</v>
      </c>
      <c r="R72" s="397" t="s">
        <v>59</v>
      </c>
      <c r="S72" s="397" t="s">
        <v>59</v>
      </c>
      <c r="T72" s="397" t="s">
        <v>59</v>
      </c>
      <c r="U72" s="397" t="s">
        <v>59</v>
      </c>
      <c r="V72" s="397" t="s">
        <v>59</v>
      </c>
      <c r="W72" s="397" t="s">
        <v>59</v>
      </c>
      <c r="X72" s="397" t="s">
        <v>59</v>
      </c>
      <c r="Y72" s="397" t="s">
        <v>59</v>
      </c>
      <c r="Z72" s="397" t="s">
        <v>59</v>
      </c>
      <c r="AA72" s="397" t="s">
        <v>59</v>
      </c>
      <c r="AB72" s="397" t="s">
        <v>59</v>
      </c>
      <c r="AC72" s="397" t="s">
        <v>59</v>
      </c>
    </row>
    <row r="73" spans="2:29" s="398" customFormat="1" hidden="1">
      <c r="B73" s="396" t="s">
        <v>51</v>
      </c>
      <c r="C73" s="397">
        <f>HLOOKUP(C71,$C$35:$AC$39,3,FALSE)</f>
        <v>993</v>
      </c>
      <c r="D73" s="397">
        <f t="shared" ref="D73:AC73" si="27">HLOOKUP(D71,$C$35:$AC$39,3,FALSE)</f>
        <v>1990</v>
      </c>
      <c r="E73" s="397">
        <f t="shared" si="27"/>
        <v>2982</v>
      </c>
      <c r="F73" s="397">
        <f t="shared" si="27"/>
        <v>3973</v>
      </c>
      <c r="G73" s="397">
        <f t="shared" si="27"/>
        <v>4964</v>
      </c>
      <c r="H73" s="397">
        <f t="shared" si="27"/>
        <v>5955</v>
      </c>
      <c r="I73" s="397">
        <f t="shared" si="27"/>
        <v>6946</v>
      </c>
      <c r="J73" s="397">
        <f t="shared" si="27"/>
        <v>7936</v>
      </c>
      <c r="K73" s="397">
        <f t="shared" si="27"/>
        <v>8926</v>
      </c>
      <c r="L73" s="397">
        <f t="shared" si="27"/>
        <v>9917</v>
      </c>
      <c r="M73" s="397">
        <f t="shared" si="27"/>
        <v>10907</v>
      </c>
      <c r="N73" s="397">
        <f t="shared" si="27"/>
        <v>11897</v>
      </c>
      <c r="O73" s="397">
        <f t="shared" si="27"/>
        <v>12887</v>
      </c>
      <c r="P73" s="397">
        <f t="shared" si="27"/>
        <v>13878</v>
      </c>
      <c r="Q73" s="397">
        <f t="shared" si="27"/>
        <v>14868</v>
      </c>
      <c r="R73" s="397">
        <f t="shared" si="27"/>
        <v>15858</v>
      </c>
      <c r="S73" s="397">
        <f t="shared" si="27"/>
        <v>16848</v>
      </c>
      <c r="T73" s="397">
        <f t="shared" si="27"/>
        <v>17838</v>
      </c>
      <c r="U73" s="397">
        <f t="shared" si="27"/>
        <v>18828</v>
      </c>
      <c r="V73" s="397">
        <f t="shared" si="27"/>
        <v>19818</v>
      </c>
      <c r="W73" s="397">
        <f t="shared" si="27"/>
        <v>20808</v>
      </c>
      <c r="X73" s="397">
        <f t="shared" si="27"/>
        <v>21798</v>
      </c>
      <c r="Y73" s="397">
        <f t="shared" si="27"/>
        <v>22788</v>
      </c>
      <c r="Z73" s="397">
        <f t="shared" si="27"/>
        <v>23778</v>
      </c>
      <c r="AA73" s="397">
        <f t="shared" si="27"/>
        <v>24769</v>
      </c>
      <c r="AB73" s="397">
        <f t="shared" si="27"/>
        <v>54516</v>
      </c>
      <c r="AC73" s="397">
        <f t="shared" si="27"/>
        <v>54516</v>
      </c>
    </row>
    <row r="74" spans="2:29" s="398" customFormat="1" hidden="1">
      <c r="B74" s="396" t="s">
        <v>52</v>
      </c>
      <c r="C74" s="397">
        <f>HLOOKUP(C71,$C$35:$AC$39,4,FALSE)</f>
        <v>83.639476334340387</v>
      </c>
      <c r="D74" s="397">
        <f t="shared" ref="D74:AC74" si="28">HLOOKUP(D71,$C$35:$AC$39,4,FALSE)</f>
        <v>118.79438314944835</v>
      </c>
      <c r="E74" s="397">
        <f t="shared" si="28"/>
        <v>121.0836693548387</v>
      </c>
      <c r="F74" s="397">
        <f t="shared" si="28"/>
        <v>114.16952573158426</v>
      </c>
      <c r="G74" s="397">
        <f t="shared" si="28"/>
        <v>87.480322906155394</v>
      </c>
      <c r="H74" s="397">
        <f t="shared" si="28"/>
        <v>68.630676084762868</v>
      </c>
      <c r="I74" s="397">
        <f t="shared" si="28"/>
        <v>45.496468213925326</v>
      </c>
      <c r="J74" s="397">
        <f t="shared" si="28"/>
        <v>36.281818181818181</v>
      </c>
      <c r="K74" s="397">
        <f t="shared" si="28"/>
        <v>22.570707070707069</v>
      </c>
      <c r="L74" s="397">
        <f t="shared" si="28"/>
        <v>20.050454086781031</v>
      </c>
      <c r="M74" s="397">
        <f t="shared" si="28"/>
        <v>11.932323232323233</v>
      </c>
      <c r="N74" s="397">
        <f t="shared" si="28"/>
        <v>11.93030303030303</v>
      </c>
      <c r="O74" s="397">
        <f t="shared" si="28"/>
        <v>7.1464646464646462</v>
      </c>
      <c r="P74" s="397">
        <f t="shared" si="28"/>
        <v>7.6014127144298689</v>
      </c>
      <c r="Q74" s="397">
        <f t="shared" si="28"/>
        <v>4.6878787878787875</v>
      </c>
      <c r="R74" s="397">
        <f t="shared" si="28"/>
        <v>5.2757575757575754</v>
      </c>
      <c r="S74" s="397">
        <f t="shared" si="28"/>
        <v>3.3616161616161615</v>
      </c>
      <c r="T74" s="397">
        <f t="shared" si="28"/>
        <v>3.904040404040404</v>
      </c>
      <c r="U74" s="397">
        <f t="shared" si="28"/>
        <v>2.4848484848484849</v>
      </c>
      <c r="V74" s="397">
        <f t="shared" si="28"/>
        <v>2.985858585858586</v>
      </c>
      <c r="W74" s="397">
        <f t="shared" si="28"/>
        <v>2.7818181818181817</v>
      </c>
      <c r="X74" s="397">
        <f t="shared" si="28"/>
        <v>2.6797979797979798</v>
      </c>
      <c r="Y74" s="397">
        <f t="shared" si="28"/>
        <v>2.5464646464646465</v>
      </c>
      <c r="Z74" s="397">
        <f t="shared" si="28"/>
        <v>2.3444444444444446</v>
      </c>
      <c r="AA74" s="397">
        <f t="shared" si="28"/>
        <v>2.0050454086781029</v>
      </c>
      <c r="AB74" s="397">
        <f t="shared" si="28"/>
        <v>0.3951322822469493</v>
      </c>
      <c r="AC74" s="397">
        <f t="shared" si="28"/>
        <v>0.3951322822469493</v>
      </c>
    </row>
    <row r="75" spans="2:29" s="398" customFormat="1" hidden="1">
      <c r="B75" s="396" t="s">
        <v>63</v>
      </c>
      <c r="C75" s="397">
        <f>ROUNDUP(C71,-3)</f>
        <v>1000</v>
      </c>
      <c r="D75" s="397">
        <f>ROUNDUP(D71,-3)</f>
        <v>1000</v>
      </c>
      <c r="E75" s="397">
        <f>ROUNDUP(E71,-3)</f>
        <v>2000</v>
      </c>
      <c r="F75" s="397">
        <f>ROUNDUP(F71,-3)</f>
        <v>3000</v>
      </c>
      <c r="G75" s="397">
        <f>ROUNDUP(G71,-3)</f>
        <v>4000</v>
      </c>
      <c r="H75" s="397">
        <f t="shared" ref="H75:AC75" si="29">ROUNDUP(H71,-3)</f>
        <v>5000</v>
      </c>
      <c r="I75" s="397">
        <f t="shared" si="29"/>
        <v>6000</v>
      </c>
      <c r="J75" s="397">
        <f t="shared" si="29"/>
        <v>7000</v>
      </c>
      <c r="K75" s="397">
        <f t="shared" si="29"/>
        <v>8000</v>
      </c>
      <c r="L75" s="397">
        <f t="shared" si="29"/>
        <v>9000</v>
      </c>
      <c r="M75" s="397">
        <f t="shared" si="29"/>
        <v>10000</v>
      </c>
      <c r="N75" s="397">
        <f t="shared" si="29"/>
        <v>11000</v>
      </c>
      <c r="O75" s="397">
        <f t="shared" si="29"/>
        <v>12000</v>
      </c>
      <c r="P75" s="397">
        <f t="shared" si="29"/>
        <v>13000</v>
      </c>
      <c r="Q75" s="397">
        <f t="shared" si="29"/>
        <v>14000</v>
      </c>
      <c r="R75" s="397">
        <f t="shared" si="29"/>
        <v>15000</v>
      </c>
      <c r="S75" s="397">
        <f t="shared" si="29"/>
        <v>16000</v>
      </c>
      <c r="T75" s="397">
        <f t="shared" si="29"/>
        <v>17000</v>
      </c>
      <c r="U75" s="397">
        <f t="shared" si="29"/>
        <v>18000</v>
      </c>
      <c r="V75" s="397">
        <f t="shared" si="29"/>
        <v>19000</v>
      </c>
      <c r="W75" s="397">
        <f t="shared" si="29"/>
        <v>20000</v>
      </c>
      <c r="X75" s="397">
        <f t="shared" si="29"/>
        <v>21000</v>
      </c>
      <c r="Y75" s="397">
        <f t="shared" si="29"/>
        <v>22000</v>
      </c>
      <c r="Z75" s="397">
        <f t="shared" si="29"/>
        <v>23000</v>
      </c>
      <c r="AA75" s="397">
        <f t="shared" si="29"/>
        <v>24000</v>
      </c>
      <c r="AB75" s="397">
        <f t="shared" si="29"/>
        <v>25000</v>
      </c>
      <c r="AC75" s="397">
        <f t="shared" si="29"/>
        <v>25000</v>
      </c>
    </row>
    <row r="76" spans="2:29" s="398" customFormat="1" hidden="1">
      <c r="B76" s="396" t="s">
        <v>64</v>
      </c>
      <c r="C76" s="399">
        <v>0</v>
      </c>
      <c r="D76" s="402">
        <f t="shared" ref="D76:AC76" si="30">ABS(D43-D71)</f>
        <v>6</v>
      </c>
      <c r="E76" s="402">
        <f t="shared" si="30"/>
        <v>9</v>
      </c>
      <c r="F76" s="402">
        <f t="shared" si="30"/>
        <v>17</v>
      </c>
      <c r="G76" s="402">
        <f t="shared" si="30"/>
        <v>26</v>
      </c>
      <c r="H76" s="402">
        <f t="shared" si="30"/>
        <v>35</v>
      </c>
      <c r="I76" s="402">
        <f t="shared" si="30"/>
        <v>44</v>
      </c>
      <c r="J76" s="402">
        <f t="shared" si="30"/>
        <v>53</v>
      </c>
      <c r="K76" s="402">
        <f t="shared" si="30"/>
        <v>63</v>
      </c>
      <c r="L76" s="402">
        <f t="shared" si="30"/>
        <v>73</v>
      </c>
      <c r="M76" s="402">
        <f t="shared" si="30"/>
        <v>82</v>
      </c>
      <c r="N76" s="402">
        <f t="shared" si="30"/>
        <v>92</v>
      </c>
      <c r="O76" s="402">
        <f t="shared" si="30"/>
        <v>102</v>
      </c>
      <c r="P76" s="402">
        <f t="shared" si="30"/>
        <v>112</v>
      </c>
      <c r="Q76" s="402">
        <f t="shared" si="30"/>
        <v>121</v>
      </c>
      <c r="R76" s="402">
        <f t="shared" si="30"/>
        <v>131</v>
      </c>
      <c r="S76" s="402">
        <f t="shared" si="30"/>
        <v>141</v>
      </c>
      <c r="T76" s="402">
        <f t="shared" si="30"/>
        <v>151</v>
      </c>
      <c r="U76" s="402">
        <f t="shared" si="30"/>
        <v>161</v>
      </c>
      <c r="V76" s="402">
        <f t="shared" si="30"/>
        <v>171</v>
      </c>
      <c r="W76" s="402">
        <f t="shared" si="30"/>
        <v>181</v>
      </c>
      <c r="X76" s="402">
        <f t="shared" si="30"/>
        <v>191</v>
      </c>
      <c r="Y76" s="402">
        <f t="shared" si="30"/>
        <v>201</v>
      </c>
      <c r="Z76" s="402">
        <f t="shared" si="30"/>
        <v>211</v>
      </c>
      <c r="AA76" s="402">
        <f t="shared" si="30"/>
        <v>221</v>
      </c>
      <c r="AB76" s="402">
        <f t="shared" si="30"/>
        <v>230</v>
      </c>
      <c r="AC76" s="402">
        <f t="shared" si="30"/>
        <v>29746</v>
      </c>
    </row>
    <row r="77" spans="2:29" s="398" customFormat="1" hidden="1">
      <c r="B77" s="396" t="s">
        <v>54</v>
      </c>
      <c r="C77" s="399">
        <f t="shared" ref="C77:AC77" si="31">ROUND(C76*C74,0)</f>
        <v>0</v>
      </c>
      <c r="D77" s="399">
        <f t="shared" si="31"/>
        <v>713</v>
      </c>
      <c r="E77" s="399">
        <f t="shared" si="31"/>
        <v>1090</v>
      </c>
      <c r="F77" s="399">
        <f t="shared" si="31"/>
        <v>1941</v>
      </c>
      <c r="G77" s="399">
        <f t="shared" si="31"/>
        <v>2274</v>
      </c>
      <c r="H77" s="399">
        <f t="shared" si="31"/>
        <v>2402</v>
      </c>
      <c r="I77" s="399">
        <f t="shared" si="31"/>
        <v>2002</v>
      </c>
      <c r="J77" s="399">
        <f t="shared" si="31"/>
        <v>1923</v>
      </c>
      <c r="K77" s="399">
        <f t="shared" si="31"/>
        <v>1422</v>
      </c>
      <c r="L77" s="399">
        <f t="shared" si="31"/>
        <v>1464</v>
      </c>
      <c r="M77" s="399">
        <f t="shared" si="31"/>
        <v>978</v>
      </c>
      <c r="N77" s="399">
        <f t="shared" si="31"/>
        <v>1098</v>
      </c>
      <c r="O77" s="399">
        <f t="shared" si="31"/>
        <v>729</v>
      </c>
      <c r="P77" s="399">
        <f t="shared" si="31"/>
        <v>851</v>
      </c>
      <c r="Q77" s="399">
        <f t="shared" si="31"/>
        <v>567</v>
      </c>
      <c r="R77" s="399">
        <f t="shared" si="31"/>
        <v>691</v>
      </c>
      <c r="S77" s="399">
        <f t="shared" si="31"/>
        <v>474</v>
      </c>
      <c r="T77" s="399">
        <f t="shared" si="31"/>
        <v>590</v>
      </c>
      <c r="U77" s="399">
        <f t="shared" si="31"/>
        <v>400</v>
      </c>
      <c r="V77" s="399">
        <f t="shared" si="31"/>
        <v>511</v>
      </c>
      <c r="W77" s="399">
        <f t="shared" si="31"/>
        <v>504</v>
      </c>
      <c r="X77" s="399">
        <f t="shared" si="31"/>
        <v>512</v>
      </c>
      <c r="Y77" s="399">
        <f t="shared" si="31"/>
        <v>512</v>
      </c>
      <c r="Z77" s="399">
        <f t="shared" si="31"/>
        <v>495</v>
      </c>
      <c r="AA77" s="399">
        <f t="shared" si="31"/>
        <v>443</v>
      </c>
      <c r="AB77" s="399">
        <f t="shared" si="31"/>
        <v>91</v>
      </c>
      <c r="AC77" s="399">
        <f t="shared" si="31"/>
        <v>11754</v>
      </c>
    </row>
    <row r="78" spans="2:29" s="398" customFormat="1" hidden="1">
      <c r="B78" s="396" t="s">
        <v>57</v>
      </c>
      <c r="C78" s="399">
        <f>C18</f>
        <v>67031</v>
      </c>
      <c r="D78" s="399">
        <f t="shared" ref="D78:AC78" si="32">IF(D43=D75,D18+D77-C77,D18+D77)</f>
        <v>83767</v>
      </c>
      <c r="E78" s="399">
        <f t="shared" si="32"/>
        <v>118815</v>
      </c>
      <c r="F78" s="399">
        <f t="shared" si="32"/>
        <v>120966</v>
      </c>
      <c r="G78" s="399">
        <f t="shared" si="32"/>
        <v>113475</v>
      </c>
      <c r="H78" s="399">
        <f t="shared" si="32"/>
        <v>86821</v>
      </c>
      <c r="I78" s="399">
        <f t="shared" si="32"/>
        <v>67613</v>
      </c>
      <c r="J78" s="399">
        <f t="shared" si="32"/>
        <v>45008</v>
      </c>
      <c r="K78" s="399">
        <f t="shared" si="32"/>
        <v>35418</v>
      </c>
      <c r="L78" s="399">
        <f t="shared" si="32"/>
        <v>22387</v>
      </c>
      <c r="M78" s="399">
        <f t="shared" si="32"/>
        <v>19384</v>
      </c>
      <c r="N78" s="399">
        <f t="shared" si="32"/>
        <v>11933</v>
      </c>
      <c r="O78" s="399">
        <f t="shared" si="32"/>
        <v>11442</v>
      </c>
      <c r="P78" s="399">
        <f t="shared" si="32"/>
        <v>7197</v>
      </c>
      <c r="Q78" s="399">
        <f t="shared" si="32"/>
        <v>7249</v>
      </c>
      <c r="R78" s="399">
        <f t="shared" si="32"/>
        <v>4765</v>
      </c>
      <c r="S78" s="399">
        <f t="shared" si="32"/>
        <v>5006</v>
      </c>
      <c r="T78" s="399">
        <f t="shared" si="32"/>
        <v>3444</v>
      </c>
      <c r="U78" s="399">
        <f t="shared" si="32"/>
        <v>3675</v>
      </c>
      <c r="V78" s="399">
        <f t="shared" si="32"/>
        <v>2571</v>
      </c>
      <c r="W78" s="399">
        <f t="shared" si="32"/>
        <v>2949</v>
      </c>
      <c r="X78" s="399">
        <f t="shared" si="32"/>
        <v>2762</v>
      </c>
      <c r="Y78" s="399">
        <f t="shared" si="32"/>
        <v>2653</v>
      </c>
      <c r="Z78" s="399">
        <f t="shared" si="32"/>
        <v>2504</v>
      </c>
      <c r="AA78" s="399">
        <f t="shared" si="32"/>
        <v>2269</v>
      </c>
      <c r="AB78" s="399">
        <f t="shared" si="32"/>
        <v>1635</v>
      </c>
      <c r="AC78" s="399">
        <f t="shared" si="32"/>
        <v>23508</v>
      </c>
    </row>
    <row r="79" spans="2:29" s="398" customFormat="1" hidden="1">
      <c r="B79" s="396" t="s">
        <v>58</v>
      </c>
      <c r="C79" s="399">
        <f>C78</f>
        <v>67031</v>
      </c>
      <c r="D79" s="399">
        <f>D78+C79</f>
        <v>150798</v>
      </c>
      <c r="E79" s="399">
        <f t="shared" ref="E79:J79" si="33">E78+D79</f>
        <v>269613</v>
      </c>
      <c r="F79" s="399">
        <f t="shared" si="33"/>
        <v>390579</v>
      </c>
      <c r="G79" s="399">
        <f t="shared" si="33"/>
        <v>504054</v>
      </c>
      <c r="H79" s="399">
        <f t="shared" si="33"/>
        <v>590875</v>
      </c>
      <c r="I79" s="399">
        <f t="shared" si="33"/>
        <v>658488</v>
      </c>
      <c r="J79" s="399">
        <f t="shared" si="33"/>
        <v>703496</v>
      </c>
      <c r="K79" s="399"/>
      <c r="L79" s="399"/>
      <c r="M79" s="399"/>
      <c r="N79" s="399"/>
      <c r="O79" s="399"/>
      <c r="P79" s="399"/>
      <c r="Q79" s="399"/>
      <c r="R79" s="399"/>
      <c r="S79" s="399"/>
      <c r="T79" s="399"/>
      <c r="U79" s="399"/>
      <c r="V79" s="399"/>
      <c r="W79" s="399"/>
      <c r="X79" s="399"/>
      <c r="Y79" s="399"/>
      <c r="Z79" s="399"/>
      <c r="AA79" s="399"/>
      <c r="AB79" s="399"/>
      <c r="AC79" s="399"/>
    </row>
    <row r="80" spans="2:29" s="398" customFormat="1" hidden="1">
      <c r="B80" s="396"/>
      <c r="C80" s="399"/>
      <c r="D80" s="399"/>
      <c r="E80" s="399"/>
      <c r="F80" s="399"/>
      <c r="G80" s="399"/>
      <c r="H80" s="399"/>
      <c r="I80" s="399"/>
      <c r="J80" s="399"/>
      <c r="K80" s="399"/>
      <c r="L80" s="399"/>
      <c r="M80" s="399"/>
      <c r="N80" s="399"/>
      <c r="O80" s="399"/>
      <c r="P80" s="399"/>
      <c r="Q80" s="399"/>
      <c r="R80" s="399"/>
      <c r="S80" s="399"/>
      <c r="T80" s="399"/>
      <c r="U80" s="399"/>
      <c r="V80" s="399"/>
      <c r="W80" s="399"/>
      <c r="X80" s="399"/>
      <c r="Y80" s="399"/>
      <c r="Z80" s="399"/>
      <c r="AA80" s="399"/>
      <c r="AB80" s="399"/>
      <c r="AC80" s="399"/>
    </row>
    <row r="81" spans="2:29" s="398" customFormat="1" hidden="1">
      <c r="B81" s="396"/>
      <c r="C81" s="399"/>
      <c r="D81" s="399"/>
      <c r="E81" s="399"/>
      <c r="F81" s="399"/>
      <c r="G81" s="399"/>
      <c r="H81" s="399"/>
      <c r="I81" s="399"/>
      <c r="J81" s="399"/>
      <c r="K81" s="399"/>
      <c r="L81" s="399"/>
      <c r="M81" s="399"/>
      <c r="N81" s="399"/>
      <c r="O81" s="399"/>
      <c r="P81" s="399"/>
      <c r="Q81" s="399"/>
      <c r="R81" s="399"/>
      <c r="S81" s="399"/>
      <c r="T81" s="399"/>
      <c r="U81" s="399"/>
      <c r="V81" s="399"/>
      <c r="W81" s="399"/>
      <c r="X81" s="399"/>
      <c r="Y81" s="399"/>
      <c r="Z81" s="399"/>
      <c r="AA81" s="399"/>
      <c r="AB81" s="399"/>
      <c r="AC81" s="399"/>
    </row>
    <row r="82" spans="2:29" s="398" customFormat="1" hidden="1">
      <c r="B82" s="396" t="s">
        <v>45</v>
      </c>
      <c r="C82" s="397">
        <v>0</v>
      </c>
      <c r="D82" s="403">
        <v>1000</v>
      </c>
      <c r="E82" s="403">
        <v>2000</v>
      </c>
      <c r="F82" s="403">
        <v>3000</v>
      </c>
      <c r="G82" s="403">
        <v>4000</v>
      </c>
      <c r="H82" s="403">
        <v>5000</v>
      </c>
      <c r="I82" s="403">
        <v>6000</v>
      </c>
      <c r="J82" s="403">
        <v>7000</v>
      </c>
      <c r="K82" s="403">
        <v>8000</v>
      </c>
      <c r="L82" s="403">
        <v>9000</v>
      </c>
      <c r="M82" s="403">
        <v>10000</v>
      </c>
      <c r="N82" s="403">
        <v>11000</v>
      </c>
      <c r="O82" s="403">
        <v>12000</v>
      </c>
      <c r="P82" s="403">
        <v>13000</v>
      </c>
      <c r="Q82" s="403">
        <v>14000</v>
      </c>
      <c r="R82" s="403">
        <v>15000</v>
      </c>
      <c r="S82" s="403">
        <v>16000</v>
      </c>
      <c r="T82" s="403">
        <v>17000</v>
      </c>
      <c r="U82" s="403">
        <v>18000</v>
      </c>
      <c r="V82" s="403">
        <v>19000</v>
      </c>
      <c r="W82" s="403">
        <v>20000</v>
      </c>
      <c r="X82" s="403">
        <v>21000</v>
      </c>
      <c r="Y82" s="403">
        <v>22000</v>
      </c>
      <c r="Z82" s="403">
        <v>23000</v>
      </c>
      <c r="AA82" s="403">
        <v>24000</v>
      </c>
      <c r="AB82" s="403">
        <v>25000</v>
      </c>
      <c r="AC82" s="404" t="s">
        <v>42</v>
      </c>
    </row>
    <row r="83" spans="2:29" s="398" customFormat="1" hidden="1">
      <c r="B83" s="396"/>
      <c r="C83" s="399">
        <f>C19</f>
        <v>67031</v>
      </c>
      <c r="D83" s="399">
        <f t="shared" ref="D83:AB83" si="34">ROUND(C83+((D19-C19)*(D82-C82)/(D37-C37)),0)</f>
        <v>150670</v>
      </c>
      <c r="E83" s="399">
        <f t="shared" si="34"/>
        <v>269464</v>
      </c>
      <c r="F83" s="399">
        <f t="shared" si="34"/>
        <v>390548</v>
      </c>
      <c r="G83" s="399">
        <f t="shared" si="34"/>
        <v>504718</v>
      </c>
      <c r="H83" s="399">
        <f t="shared" si="34"/>
        <v>592198</v>
      </c>
      <c r="I83" s="399">
        <f t="shared" si="34"/>
        <v>660829</v>
      </c>
      <c r="J83" s="399">
        <f t="shared" si="34"/>
        <v>706325</v>
      </c>
      <c r="K83" s="399">
        <f t="shared" si="34"/>
        <v>742607</v>
      </c>
      <c r="L83" s="399">
        <f t="shared" si="34"/>
        <v>765178</v>
      </c>
      <c r="M83" s="399">
        <f t="shared" si="34"/>
        <v>785228</v>
      </c>
      <c r="N83" s="399">
        <f t="shared" si="34"/>
        <v>797160</v>
      </c>
      <c r="O83" s="399">
        <f t="shared" si="34"/>
        <v>809090</v>
      </c>
      <c r="P83" s="399">
        <f t="shared" si="34"/>
        <v>816236</v>
      </c>
      <c r="Q83" s="399">
        <f t="shared" si="34"/>
        <v>823837</v>
      </c>
      <c r="R83" s="399">
        <f t="shared" si="34"/>
        <v>828525</v>
      </c>
      <c r="S83" s="399">
        <f t="shared" si="34"/>
        <v>833801</v>
      </c>
      <c r="T83" s="399">
        <f t="shared" si="34"/>
        <v>837163</v>
      </c>
      <c r="U83" s="399">
        <f t="shared" si="34"/>
        <v>841067</v>
      </c>
      <c r="V83" s="399">
        <f t="shared" si="34"/>
        <v>843552</v>
      </c>
      <c r="W83" s="399">
        <f t="shared" si="34"/>
        <v>846538</v>
      </c>
      <c r="X83" s="399">
        <f t="shared" si="34"/>
        <v>849320</v>
      </c>
      <c r="Y83" s="399">
        <f t="shared" si="34"/>
        <v>852000</v>
      </c>
      <c r="Z83" s="399">
        <f t="shared" si="34"/>
        <v>854546</v>
      </c>
      <c r="AA83" s="399">
        <f t="shared" si="34"/>
        <v>856890</v>
      </c>
      <c r="AB83" s="399">
        <f t="shared" si="34"/>
        <v>858895</v>
      </c>
      <c r="AC83" s="399">
        <f>AC19</f>
        <v>864402</v>
      </c>
    </row>
    <row r="84" spans="2:29" s="398" customFormat="1" hidden="1">
      <c r="B84" s="396" t="s">
        <v>48</v>
      </c>
      <c r="C84" s="399">
        <f t="shared" ref="C84:AA84" si="35">ROUND((D83-C83)*(C47-C82)/(D82-C82),0)</f>
        <v>0</v>
      </c>
      <c r="D84" s="399">
        <f t="shared" si="35"/>
        <v>832</v>
      </c>
      <c r="E84" s="399">
        <f t="shared" si="35"/>
        <v>1211</v>
      </c>
      <c r="F84" s="399">
        <f t="shared" si="35"/>
        <v>2055</v>
      </c>
      <c r="G84" s="399">
        <f t="shared" si="35"/>
        <v>2362</v>
      </c>
      <c r="H84" s="399">
        <f t="shared" si="35"/>
        <v>2471</v>
      </c>
      <c r="I84" s="399">
        <f t="shared" si="35"/>
        <v>2047</v>
      </c>
      <c r="J84" s="399">
        <f t="shared" si="35"/>
        <v>1996</v>
      </c>
      <c r="K84" s="399">
        <f t="shared" si="35"/>
        <v>1467</v>
      </c>
      <c r="L84" s="399">
        <f t="shared" si="35"/>
        <v>1484</v>
      </c>
      <c r="M84" s="399">
        <f t="shared" si="35"/>
        <v>1002</v>
      </c>
      <c r="N84" s="399">
        <f t="shared" si="35"/>
        <v>1121</v>
      </c>
      <c r="O84" s="399">
        <f t="shared" si="35"/>
        <v>743</v>
      </c>
      <c r="P84" s="399">
        <f t="shared" si="35"/>
        <v>867</v>
      </c>
      <c r="Q84" s="399">
        <f t="shared" si="35"/>
        <v>581</v>
      </c>
      <c r="R84" s="399">
        <f t="shared" si="35"/>
        <v>707</v>
      </c>
      <c r="S84" s="399">
        <f t="shared" si="35"/>
        <v>481</v>
      </c>
      <c r="T84" s="399">
        <f t="shared" si="35"/>
        <v>597</v>
      </c>
      <c r="U84" s="399">
        <f t="shared" si="35"/>
        <v>405</v>
      </c>
      <c r="V84" s="399">
        <f t="shared" si="35"/>
        <v>517</v>
      </c>
      <c r="W84" s="399">
        <f t="shared" si="35"/>
        <v>509</v>
      </c>
      <c r="X84" s="399">
        <f t="shared" si="35"/>
        <v>520</v>
      </c>
      <c r="Y84" s="399">
        <f t="shared" si="35"/>
        <v>519</v>
      </c>
      <c r="Z84" s="399">
        <f t="shared" si="35"/>
        <v>502</v>
      </c>
      <c r="AA84" s="399">
        <f t="shared" si="35"/>
        <v>449</v>
      </c>
      <c r="AB84" s="399" t="e">
        <f>ROUND((AC83-AB83)*(AB47-AB82)/(AC82-AB82),0)</f>
        <v>#VALUE!</v>
      </c>
    </row>
    <row r="85" spans="2:29" s="398" customFormat="1" hidden="1">
      <c r="B85" s="396"/>
      <c r="C85" s="399"/>
      <c r="D85" s="399"/>
      <c r="E85" s="399"/>
      <c r="F85" s="399"/>
      <c r="G85" s="399"/>
      <c r="H85" s="399"/>
      <c r="I85" s="399"/>
      <c r="J85" s="399"/>
      <c r="K85" s="399"/>
      <c r="L85" s="399"/>
      <c r="M85" s="399"/>
      <c r="N85" s="399"/>
      <c r="O85" s="399"/>
      <c r="P85" s="399"/>
      <c r="Q85" s="399"/>
      <c r="R85" s="399"/>
      <c r="S85" s="399"/>
      <c r="T85" s="399"/>
      <c r="U85" s="399"/>
      <c r="V85" s="399"/>
      <c r="W85" s="399"/>
      <c r="X85" s="399"/>
      <c r="Y85" s="399"/>
      <c r="Z85" s="399"/>
      <c r="AA85" s="399"/>
      <c r="AB85" s="399"/>
    </row>
    <row r="86" spans="2:29" hidden="1">
      <c r="B86" s="123" t="s">
        <v>85</v>
      </c>
      <c r="C86" s="127">
        <f>C34</f>
        <v>0</v>
      </c>
      <c r="D86" s="127">
        <f>IF(AND(D43&gt;C37,D43&lt;=D37),D34,IF(AND(D43&gt;D37,D43&lt;=E37),E34,IF(AND(D43&gt;E37,D43&lt;=F37),F34,IF(AND(D43&gt;F37,D43&lt;=G37),G34,IF(AND(D43&gt;G37,D43&lt;=H37),H34,IF(AND(D43&gt;H37,D43&lt;=I37),I34,IF(AND(D43&gt;I37,D43&lt;=J37),J34,IF(AND(D43&gt;J37,D43&lt;=K37),K34,"error"))))))))</f>
        <v>2</v>
      </c>
      <c r="E86" s="127">
        <f>IF(AND(E43&gt;C37,E43&lt;=D37),D34,IF(AND(E43&gt;D37,E43&lt;=E37),E34,IF(AND(E43&gt;E37,E43&lt;=F37),F34,IF(AND(E43&gt;F37,E43&lt;=G37),G34,IF(AND(E43&gt;G37,E43&lt;=H37),H34,IF(AND(E43&gt;H37,E43&lt;=I37),I34,IF(AND(E43&gt;I37,E43&lt;=J37),J34,IF(AND(E43&gt;J37,E43&lt;=K37),K34,IF(AND(E43&gt;K37,E43&lt;=L37),L34,"error")))))))))</f>
        <v>3</v>
      </c>
      <c r="F86" s="127">
        <f>IF(AND(F43&gt;C37,F43&lt;=D37),D34,IF(AND(F43&gt;D37,F43&lt;=E37),E34,IF(AND(F43&gt;E37,F43&lt;=F37),F34,IF(AND(F43&gt;F37,F43&lt;=G37),G34,IF(AND(F43&gt;G37,F43&lt;=H37),H34,IF(AND(F43&gt;H37,F43&lt;=I37),I34,IF(AND(F43&gt;I37,F43&lt;=J37),J34,IF(AND(F43&gt;J37,F43&lt;=K37),K34,IF(AND(F43&gt;K37,F43&lt;=L37),L34,IF(AND(F43&gt;L37,F43&lt;=M37),M34,"error"))))))))))</f>
        <v>4</v>
      </c>
      <c r="G86" s="127">
        <f>IF(AND(G43&gt;C37,G43&lt;=D37),D34,IF(AND(G43&gt;D37,G43&lt;=E37),E34,IF(AND(G43&gt;E37,G43&lt;=F37),F34,IF(AND(G43&gt;F37,G43&lt;=G37),G34,IF(AND(G43&gt;G37,G43&lt;=H37),H34,IF(AND(G43&gt;H37,G43&lt;=I37),I34,IF(AND(G43&gt;I37,G43&lt;=J37),J34,IF(AND(G43&gt;J37,G43&lt;=K37),K34,IF(AND(G43&gt;K37,G43&lt;=L37),L34,IF(AND(G43&gt;L37,G43&lt;=M37),M34,IF(AND(G43&gt;M37,G43&lt;=N37),N34,"error")))))))))))</f>
        <v>5</v>
      </c>
      <c r="H86" s="127">
        <f>IF(AND(H43&gt;C37,H43&lt;=D37),D34,IF(AND(H43&gt;D37,H43&lt;=E37),E34,IF(AND(H43&gt;E37,H43&lt;=F37),F34,IF(AND(H43&gt;F37,H43&lt;=G37),G34,IF(AND(H43&gt;G37,H43&lt;=H37),H34,IF(AND(H43&gt;H37,H43&lt;=I37),I34,IF(AND(H43&gt;I37,H43&lt;=J37),J34,IF(AND(H43&gt;J37,H43&lt;=K37),K34,IF(AND(H43&gt;K37,H43&lt;=L37),L34,IF(AND(H43&gt;L37,H43&lt;=M37),M34,IF(AND(H43&gt;M37,H43&lt;=N37),N34,IF(AND(H43&gt;N37,H43&lt;=O37),O34,"error"))))))))))))</f>
        <v>6</v>
      </c>
      <c r="I86" s="127">
        <f>IF(AND(I43&gt;C37,I43&lt;=D37),D34,IF(AND(I43&gt;D37,I43&lt;=E37),E34,IF(AND(I43&gt;E37,I43&lt;=F37),F34,IF(AND(I43&gt;F37,I43&lt;=G37),G34,IF(AND(I43&gt;G37,I43&lt;=H37),H34,IF(AND(I43&gt;H37,I43&lt;=I37),I34,IF(AND(I43&gt;I37,I43&lt;=J37),J34,IF(AND(I43&gt;J37,I43&lt;=K37),K34,IF(AND(I43&gt;K37,I43&lt;=L37),L34,IF(AND(I43&gt;L37,I43&lt;=M37),M34,IF(AND(I43&gt;M37,I43&lt;=N37),N34,IF(AND(I43&gt;N37,I43&lt;=O37),O34,IF(AND(I43&gt;O37,I43&lt;=P37),P34,"error")))))))))))))</f>
        <v>7</v>
      </c>
      <c r="J86" s="127">
        <f>IF(AND(J43&gt;C37,J43&lt;=D37),D34,IF(AND(J43&gt;D37,J43&lt;=E37),E34,IF(AND(J43&gt;E37,J43&lt;=F37),F34,IF(AND(J43&gt;F37,J43&lt;=G37),G34,IF(AND(J43&gt;G37,J43&lt;=H37),H34,IF(AND(J43&gt;H37,J43&lt;=I37),I34,IF(AND(J43&gt;I37,J43&lt;=J37),J34,IF(AND(J43&gt;J37,J43&lt;=K37),K34,IF(AND(J43&gt;K37,J43&lt;=L37),L34,IF(AND(J43&gt;L37,J43&lt;=M37),M34,IF(AND(J43&gt;M37,J43&lt;=N37),N34,IF(AND(J43&gt;N37,J43&lt;=O37),O34,IF(AND(J43&gt;O37,J43&lt;=P37),P34,IF(AND(J43&gt;P37,J43&lt;=Q37),Q34,"error"))))))))))))))</f>
        <v>8</v>
      </c>
      <c r="K86" s="127">
        <f>IF(AND(K43&gt;C37,K43&lt;=D37),D34,IF(AND(K43&gt;D37,K43&lt;=E37),E34,IF(AND(K43&gt;E37,K43&lt;=F37),F34,IF(AND(K43&gt;F37,K43&lt;=G37),G34,IF(AND(K43&gt;G37,K43&lt;=H37),H34,IF(AND(K43&gt;H37,K43&lt;=I37),I34,IF(AND(K43&gt;I37,K43&lt;=J37),J34,IF(AND(K43&gt;J37,K43&lt;=K37),K34,IF(AND(K43&gt;K37,K43&lt;=L37),L34,IF(AND(K43&gt;L37,K43&lt;=M37),M34,IF(AND(K43&gt;M37,K43&lt;=N37),N34,IF(AND(K43&gt;N37,K43&lt;=O37),O34,IF(AND(K43&gt;O37,K43&lt;=P37),P34,IF(AND(K43&gt;P37,K43&lt;=Q37),Q34,IF(AND(K43&gt;Q37,K43&lt;=R37),R34,"error")))))))))))))))</f>
        <v>9</v>
      </c>
      <c r="L86" s="127">
        <f>IF(AND(L43&gt;C37,L43&lt;=D37),D34,IF(AND(L43&gt;D37,L43&lt;=E37),E34,IF(AND(L43&gt;E37,L43&lt;=F37),F34,IF(AND(L43&gt;F37,L43&lt;=G37),G34,IF(AND(L43&gt;G37,L43&lt;=H37),H34,IF(AND(L43&gt;H37,L43&lt;=I37),I34,IF(AND(L43&gt;I37,L43&lt;=J37),J34,IF(AND(L43&gt;J37,L43&lt;=K37),K34,IF(AND(L43&gt;K37,L43&lt;=L37),L34,IF(AND(L43&gt;L37,L43&lt;=M37),M34,IF(AND(L43&gt;M37,L43&lt;=N37),N34,IF(AND(L43&gt;N37,L43&lt;=O37),O34,IF(AND(L43&gt;O37,L43&lt;=P37),P34,IF(AND(L43&gt;P37,L43&lt;=Q37),Q34,IF(AND(L43&gt;Q37,L43&lt;=R37),R34,IF(AND(L43&gt;R37,L43&lt;=S37),S34,"error"))))))))))))))))</f>
        <v>10</v>
      </c>
      <c r="M86" s="127">
        <f t="shared" ref="M86:V86" si="36">IF(AND(M43&gt;C37,M43&lt;=D37),D34,IF(AND(M43&gt;D37,M43&lt;=E37),E34,IF(AND(M43&gt;E37,M43&lt;=F37),F34,IF(AND(M43&gt;F37,M43&lt;=G37),G34,IF(AND(M43&gt;G37,M43&lt;=H37),H34,IF(AND(M43&gt;H37,M43&lt;=I37),I34,IF(AND(M43&gt;I37,M43&lt;=J37),J34,IF(AND(M43&gt;J37,M43&lt;=K37),K34,IF(AND(M43&gt;K37,M43&lt;=L37),L34,IF(AND(M43&gt;L37,M43&lt;=M37),M34,IF(AND(M43&gt;M37,M43&lt;=N37),N34,IF(AND(M43&gt;N37,M43&lt;=O37),O34,IF(AND(M43&gt;O37,M43&lt;=P37),P34,IF(AND(M43&gt;P37,M43&lt;=Q37),Q34,IF(AND(M43&gt;Q37,M43&lt;=R37),R34,IF(AND(M43&gt;R37,M43&lt;=S37),S34,IF(AND(M43&gt;S37,M43&lt;=T37),T34,"error")))))))))))))))))</f>
        <v>11</v>
      </c>
      <c r="N86" s="127">
        <f t="shared" si="36"/>
        <v>12</v>
      </c>
      <c r="O86" s="127">
        <f t="shared" si="36"/>
        <v>13</v>
      </c>
      <c r="P86" s="127">
        <f t="shared" si="36"/>
        <v>14</v>
      </c>
      <c r="Q86" s="127">
        <f t="shared" si="36"/>
        <v>15</v>
      </c>
      <c r="R86" s="127">
        <f t="shared" si="36"/>
        <v>16</v>
      </c>
      <c r="S86" s="127">
        <f t="shared" si="36"/>
        <v>17</v>
      </c>
      <c r="T86" s="127">
        <f t="shared" si="36"/>
        <v>18</v>
      </c>
      <c r="U86" s="127">
        <f t="shared" si="36"/>
        <v>19</v>
      </c>
      <c r="V86" s="127">
        <f t="shared" si="36"/>
        <v>20</v>
      </c>
      <c r="W86" s="127">
        <f>IF(AND(W43&gt;M37,W43&lt;=N37),N34,IF(AND(W43&gt;N37,W43&lt;=O37),O34,IF(AND(W43&gt;O37,W43&lt;=P37),P34,IF(AND(W43&gt;P37,W43&lt;=Q37),Q34,IF(AND(W43&gt;Q37,W43&lt;=R37),R34,IF(AND(W43&gt;R37,W43&lt;=S37),S34,IF(AND(W43&gt;S37,W43&lt;=T37),T34,IF(AND(W43&gt;T37,W43&lt;=U37),U34,IF(AND(W43&gt;U37,W43&lt;=V37),V34,IF(AND(W43&gt;V37,W43&lt;=W37),W34,IF(AND(W43&gt;W37,W43&lt;=X37),X34,IF(AND(W43&gt;X37,W43&lt;=Y37),Y34,IF(AND(W43&gt;Y37,W43&lt;=Z37),Z34,IF(AND(W43&gt;Z37,W43&lt;=AA37),AA34,IF(AND(W43&gt;AA37,W43&lt;=AB37),AB34,IF(AND(W43&gt;AB37,W43&lt;=AC37),AC34,"error"))))))))))))))))</f>
        <v>21</v>
      </c>
      <c r="X86" s="127">
        <f>IF(AND(X43&gt;N37,X43&lt;=O37),O34,IF(AND(X43&gt;O37,X43&lt;=P37),P34,IF(AND(X43&gt;P37,X43&lt;=Q37),Q34,IF(AND(X43&gt;Q37,X43&lt;=R37),R34,IF(AND(X43&gt;R37,X43&lt;=S37),S34,IF(AND(X43&gt;S37,X43&lt;=T37),T34,IF(AND(X43&gt;T37,X43&lt;=U37),U34,IF(AND(X43&gt;U37,X43&lt;=V37),V34,IF(AND(X43&gt;V37,X43&lt;=W37),W34,IF(AND(X43&gt;W37,X43&lt;=X37),X34,IF(AND(X43&gt;X37,X43&lt;=Y37),Y34,IF(AND(X43&gt;Y37,X43&lt;=Z37),Z34,IF(AND(X43&gt;Z37,X43&lt;=AA37),AA34,IF(AND(X43&gt;AA37,X43&lt;=AB37),AB34,IF(AND(X43&gt;AB37,X43&lt;=AC37),AC34,"error")))))))))))))))</f>
        <v>22</v>
      </c>
      <c r="Y86" s="127">
        <f>IF(AND(Y43&gt;O37,Y43&lt;=P37),P34,IF(AND(Y43&gt;P37,Y43&lt;=Q37),Q34,IF(AND(Y43&gt;Q37,Y43&lt;=R37),R34,IF(AND(Y43&gt;R37,Y43&lt;=S37),S34,IF(AND(Y43&gt;S37,Y43&lt;=T37),T34,IF(AND(Y43&gt;T37,Y43&lt;=U37),U34,IF(AND(Y43&gt;U37,Y43&lt;=V37),V34,IF(AND(Y43&gt;V37,Y43&lt;=W37),W34,IF(AND(Y43&gt;W37,Y43&lt;=X37),X34,IF(AND(Y43&gt;X37,Y43&lt;=Y37),Y34,IF(AND(Y43&gt;Y37,Y43&lt;=Z37),Z34,IF(AND(Y43&gt;Z37,Y43&lt;=AA37),AA34,IF(AND(Y43&gt;AA37,Y43&lt;=AB37),AB34,IF(AND(Y43&gt;AB37,Y43&lt;=AC37),AC34,"error"))))))))))))))</f>
        <v>23</v>
      </c>
      <c r="Z86" s="127">
        <f>IF(AND(Z43&gt;P37,Z43&lt;=Q37),Q34,IF(AND(Z43&gt;Q37,Z43&lt;=R37),R34,IF(AND(Z43&gt;R37,Z43&lt;=S37),S34,IF(AND(Z43&gt;S37,Z43&lt;=T37),T34,IF(AND(Z43&gt;T37,Z43&lt;=U37),U34,IF(AND(Z43&gt;U37,Z43&lt;=V37),V34,IF(AND(Z43&gt;V37,Z43&lt;=W37),W34,IF(AND(Z43&gt;W37,Z43&lt;=X37),X34,IF(AND(Z43&gt;X37,Z43&lt;=Y37),Y34,IF(AND(Z43&gt;Y37,Z43&lt;=Z37),Z34,IF(AND(Z43&gt;Z37,Z43&lt;=AA37),AA34,IF(AND(Z43&gt;AA37,Z43&lt;=AB37),AB34,IF(AND(Z43&gt;AB37,Z43&lt;=AC37),AC34,"error")))))))))))))</f>
        <v>24</v>
      </c>
      <c r="AA86" s="127">
        <f>IF(AND(AA43&gt;Q37,AA43&lt;=R37),R34,IF(AND(AA43&gt;R37,AA43&lt;=S37),S34,IF(AND(AA43&gt;S37,AA43&lt;=T37),T34,IF(AND(AA43&gt;T37,AA43&lt;=U37),U34,IF(AND(AA43&gt;U37,AA43&lt;=V37),V34,IF(AND(AA43&gt;V37,AA43&lt;=W37),W34,IF(AND(AA43&gt;W37,AA43&lt;=X37),X34,IF(AND(AA43&gt;X37,AA43&lt;=Y37),Y34,IF(AND(AA43&gt;Y37,AA43&lt;=Z37),Z34,IF(AND(AA43&gt;Z37,AA43&lt;=AA37),AA34,IF(AND(AA43&gt;AA37,AA43&lt;=AB37),AB34,IF(AND(AA43&gt;AB37,AA43&lt;=AC37),AC34,"error"))))))))))))</f>
        <v>25</v>
      </c>
      <c r="AB86" s="127">
        <f>IF(AND(AB43&gt;R37,AB43&lt;=S37),S34,IF(AND(AB43&gt;S37,AB43&lt;=T37),T34,IF(AND(AB43&gt;T37,AB43&lt;=U37),U34,IF(AND(AB43&gt;U37,AB43&lt;=V37),V34,IF(AND(AB43&gt;V37,AB43&lt;=W37),W34,IF(AND(AB43&gt;W37,AB43&lt;=X37),X34,IF(AND(AB43&gt;X37,AB43&lt;=Y37),Y34,IF(AND(AB43&gt;Y37,AB43&lt;=Z37),Z34,IF(AND(AB43&gt;Z37,AB43&lt;=AA37),AA34,IF(AND(AB43&gt;AA37,AB43&lt;=AB37),AB34,IF(AND(AB43&gt;AB37,AB43&lt;=AC37),AC34,"error")))))))))))</f>
        <v>26</v>
      </c>
      <c r="AC86" s="127">
        <f>IF(AND(AC43&gt;S37,AC43&lt;=T37),T34,IF(AND(AC43&gt;T37,AC43&lt;=U37),U34,IF(AND(AC43&gt;U37,AC43&lt;=V37),V34,IF(AND(AC43&gt;V37,AC43&lt;=W37),W34,IF(AND(AC43&gt;W37,AC43&lt;=X37),X34,IF(AND(AC43&gt;X37,AC43&lt;=Y37),Y34,IF(AND(AC43&gt;Y37,AC43&lt;=Z37),Z34,IF(AND(AC43&gt;Z37,AC43&lt;=AA37),AA34,IF(AND(AC43&gt;AA37,AC43&lt;=AB37),AB34,IF(AND(AC43&gt;AB37,AC43&lt;=AC37),AC34,"error"))))))))))</f>
        <v>26</v>
      </c>
    </row>
    <row r="87" spans="2:29" hidden="1">
      <c r="B87" s="123" t="s">
        <v>87</v>
      </c>
      <c r="C87" s="127">
        <f>HLOOKUP(C$86,$C$34:$AC$41,2,FALSE)</f>
        <v>0</v>
      </c>
      <c r="D87" s="127">
        <f t="shared" ref="D87:AC87" si="37">HLOOKUP(D$86,$C$34:$AC$41,2,FALSE)</f>
        <v>994</v>
      </c>
      <c r="E87" s="127">
        <f t="shared" si="37"/>
        <v>1991</v>
      </c>
      <c r="F87" s="127">
        <f t="shared" si="37"/>
        <v>2983</v>
      </c>
      <c r="G87" s="127">
        <f t="shared" si="37"/>
        <v>3974</v>
      </c>
      <c r="H87" s="127">
        <f t="shared" si="37"/>
        <v>4965</v>
      </c>
      <c r="I87" s="127">
        <f t="shared" si="37"/>
        <v>5956</v>
      </c>
      <c r="J87" s="127">
        <f t="shared" si="37"/>
        <v>6947</v>
      </c>
      <c r="K87" s="127">
        <f t="shared" si="37"/>
        <v>7937</v>
      </c>
      <c r="L87" s="127">
        <f t="shared" si="37"/>
        <v>8927</v>
      </c>
      <c r="M87" s="127">
        <f t="shared" si="37"/>
        <v>9918</v>
      </c>
      <c r="N87" s="127">
        <f t="shared" si="37"/>
        <v>10908</v>
      </c>
      <c r="O87" s="127">
        <f t="shared" si="37"/>
        <v>11898</v>
      </c>
      <c r="P87" s="127">
        <f t="shared" si="37"/>
        <v>12888</v>
      </c>
      <c r="Q87" s="127">
        <f t="shared" si="37"/>
        <v>13879</v>
      </c>
      <c r="R87" s="127">
        <f t="shared" si="37"/>
        <v>14869</v>
      </c>
      <c r="S87" s="127">
        <f t="shared" si="37"/>
        <v>15859</v>
      </c>
      <c r="T87" s="127">
        <f t="shared" si="37"/>
        <v>16849</v>
      </c>
      <c r="U87" s="127">
        <f t="shared" si="37"/>
        <v>17839</v>
      </c>
      <c r="V87" s="127">
        <f t="shared" si="37"/>
        <v>18829</v>
      </c>
      <c r="W87" s="127">
        <f t="shared" si="37"/>
        <v>19819</v>
      </c>
      <c r="X87" s="127">
        <f t="shared" si="37"/>
        <v>20809</v>
      </c>
      <c r="Y87" s="127">
        <f t="shared" si="37"/>
        <v>21799</v>
      </c>
      <c r="Z87" s="127">
        <f t="shared" si="37"/>
        <v>22789</v>
      </c>
      <c r="AA87" s="127">
        <f t="shared" si="37"/>
        <v>23779</v>
      </c>
      <c r="AB87" s="127">
        <f t="shared" si="37"/>
        <v>24770</v>
      </c>
      <c r="AC87" s="127">
        <f t="shared" si="37"/>
        <v>24770</v>
      </c>
    </row>
    <row r="88" spans="2:29" hidden="1">
      <c r="B88" s="123" t="s">
        <v>88</v>
      </c>
      <c r="C88" s="127">
        <f>HLOOKUP(C$86,$C$34:$AC$41,4,FALSE)</f>
        <v>0</v>
      </c>
      <c r="D88" s="127">
        <f t="shared" ref="D88:AB88" si="38">HLOOKUP(D$86,$C$34:$AC$41,4,FALSE)</f>
        <v>1990</v>
      </c>
      <c r="E88" s="127">
        <f t="shared" si="38"/>
        <v>2982</v>
      </c>
      <c r="F88" s="127">
        <f t="shared" si="38"/>
        <v>3973</v>
      </c>
      <c r="G88" s="127">
        <f t="shared" si="38"/>
        <v>4964</v>
      </c>
      <c r="H88" s="127">
        <f t="shared" si="38"/>
        <v>5955</v>
      </c>
      <c r="I88" s="127">
        <f t="shared" si="38"/>
        <v>6946</v>
      </c>
      <c r="J88" s="127">
        <f t="shared" si="38"/>
        <v>7936</v>
      </c>
      <c r="K88" s="127">
        <f t="shared" si="38"/>
        <v>8926</v>
      </c>
      <c r="L88" s="127">
        <f t="shared" si="38"/>
        <v>9917</v>
      </c>
      <c r="M88" s="127">
        <f t="shared" si="38"/>
        <v>10907</v>
      </c>
      <c r="N88" s="127">
        <f t="shared" si="38"/>
        <v>11897</v>
      </c>
      <c r="O88" s="127">
        <f t="shared" si="38"/>
        <v>12887</v>
      </c>
      <c r="P88" s="127">
        <f t="shared" si="38"/>
        <v>13878</v>
      </c>
      <c r="Q88" s="127">
        <f t="shared" si="38"/>
        <v>14868</v>
      </c>
      <c r="R88" s="127">
        <f t="shared" si="38"/>
        <v>15858</v>
      </c>
      <c r="S88" s="127">
        <f t="shared" si="38"/>
        <v>16848</v>
      </c>
      <c r="T88" s="127">
        <f t="shared" si="38"/>
        <v>17838</v>
      </c>
      <c r="U88" s="127">
        <f t="shared" si="38"/>
        <v>18828</v>
      </c>
      <c r="V88" s="127">
        <f t="shared" si="38"/>
        <v>19818</v>
      </c>
      <c r="W88" s="127">
        <f t="shared" si="38"/>
        <v>20808</v>
      </c>
      <c r="X88" s="127">
        <f t="shared" si="38"/>
        <v>21798</v>
      </c>
      <c r="Y88" s="127">
        <f t="shared" si="38"/>
        <v>22788</v>
      </c>
      <c r="Z88" s="127">
        <f t="shared" si="38"/>
        <v>23778</v>
      </c>
      <c r="AA88" s="127">
        <f t="shared" si="38"/>
        <v>24769</v>
      </c>
      <c r="AB88" s="127">
        <f t="shared" si="38"/>
        <v>54516</v>
      </c>
      <c r="AC88" s="127">
        <f>HLOOKUP(AC$86,$C$34:$AC$41,4,FALSE)</f>
        <v>54516</v>
      </c>
    </row>
    <row r="89" spans="2:29" hidden="1">
      <c r="B89" s="123" t="s">
        <v>86</v>
      </c>
      <c r="C89" s="405">
        <f>HLOOKUP(C$86,$C$34:$AC$41,8,FALSE)</f>
        <v>67031</v>
      </c>
      <c r="D89" s="405">
        <f t="shared" ref="D89:AC89" si="39">HLOOKUP(D$86,$C$34:$AC$41,8,FALSE)</f>
        <v>268523</v>
      </c>
      <c r="E89" s="405">
        <f t="shared" si="39"/>
        <v>388638</v>
      </c>
      <c r="F89" s="405">
        <f t="shared" si="39"/>
        <v>501780</v>
      </c>
      <c r="G89" s="405">
        <f t="shared" si="39"/>
        <v>588473</v>
      </c>
      <c r="H89" s="405">
        <f t="shared" si="39"/>
        <v>656486</v>
      </c>
      <c r="I89" s="405">
        <f t="shared" si="39"/>
        <v>701573</v>
      </c>
      <c r="J89" s="405">
        <f t="shared" si="39"/>
        <v>737492</v>
      </c>
      <c r="K89" s="405">
        <f t="shared" si="39"/>
        <v>759837</v>
      </c>
      <c r="L89" s="405">
        <f t="shared" si="39"/>
        <v>779707</v>
      </c>
      <c r="M89" s="405">
        <f t="shared" si="39"/>
        <v>791520</v>
      </c>
      <c r="N89" s="405">
        <f t="shared" si="39"/>
        <v>803331</v>
      </c>
      <c r="O89" s="405">
        <f t="shared" si="39"/>
        <v>810406</v>
      </c>
      <c r="P89" s="405">
        <f t="shared" si="39"/>
        <v>817939</v>
      </c>
      <c r="Q89" s="405">
        <f t="shared" si="39"/>
        <v>822580</v>
      </c>
      <c r="R89" s="405">
        <f t="shared" si="39"/>
        <v>827803</v>
      </c>
      <c r="S89" s="405">
        <f t="shared" si="39"/>
        <v>831131</v>
      </c>
      <c r="T89" s="405">
        <f t="shared" si="39"/>
        <v>834996</v>
      </c>
      <c r="U89" s="405">
        <f t="shared" si="39"/>
        <v>837456</v>
      </c>
      <c r="V89" s="405">
        <f t="shared" si="39"/>
        <v>840412</v>
      </c>
      <c r="W89" s="405">
        <f t="shared" si="39"/>
        <v>843166</v>
      </c>
      <c r="X89" s="405">
        <f t="shared" si="39"/>
        <v>845819</v>
      </c>
      <c r="Y89" s="405">
        <f t="shared" si="39"/>
        <v>848340</v>
      </c>
      <c r="Z89" s="405">
        <f t="shared" si="39"/>
        <v>850661</v>
      </c>
      <c r="AA89" s="405">
        <f t="shared" si="39"/>
        <v>852648</v>
      </c>
      <c r="AB89" s="405">
        <f t="shared" si="39"/>
        <v>864402</v>
      </c>
      <c r="AC89" s="405">
        <f t="shared" si="39"/>
        <v>864402</v>
      </c>
    </row>
    <row r="90" spans="2:29" hidden="1">
      <c r="B90" s="123" t="s">
        <v>90</v>
      </c>
      <c r="C90" s="405">
        <v>0</v>
      </c>
      <c r="D90" s="405">
        <f t="shared" ref="D90:AC90" si="40">HLOOKUP(D$86,$C$34:$AC$41,5,FALSE)</f>
        <v>118.79438314944835</v>
      </c>
      <c r="E90" s="405">
        <f t="shared" si="40"/>
        <v>121.0836693548387</v>
      </c>
      <c r="F90" s="405">
        <f t="shared" si="40"/>
        <v>114.16952573158426</v>
      </c>
      <c r="G90" s="405">
        <f t="shared" si="40"/>
        <v>87.480322906155394</v>
      </c>
      <c r="H90" s="405">
        <f t="shared" si="40"/>
        <v>68.630676084762868</v>
      </c>
      <c r="I90" s="405">
        <f t="shared" si="40"/>
        <v>45.496468213925326</v>
      </c>
      <c r="J90" s="405">
        <f t="shared" si="40"/>
        <v>36.281818181818181</v>
      </c>
      <c r="K90" s="405">
        <f t="shared" si="40"/>
        <v>22.570707070707069</v>
      </c>
      <c r="L90" s="405">
        <f t="shared" si="40"/>
        <v>20.050454086781031</v>
      </c>
      <c r="M90" s="405">
        <f t="shared" si="40"/>
        <v>11.932323232323233</v>
      </c>
      <c r="N90" s="405">
        <f t="shared" si="40"/>
        <v>11.93030303030303</v>
      </c>
      <c r="O90" s="405">
        <f t="shared" si="40"/>
        <v>7.1464646464646462</v>
      </c>
      <c r="P90" s="405">
        <f t="shared" si="40"/>
        <v>7.6014127144298689</v>
      </c>
      <c r="Q90" s="405">
        <f t="shared" si="40"/>
        <v>4.6878787878787875</v>
      </c>
      <c r="R90" s="405">
        <f t="shared" si="40"/>
        <v>5.2757575757575754</v>
      </c>
      <c r="S90" s="405">
        <f t="shared" si="40"/>
        <v>3.3616161616161615</v>
      </c>
      <c r="T90" s="405">
        <f t="shared" si="40"/>
        <v>3.904040404040404</v>
      </c>
      <c r="U90" s="405">
        <f t="shared" si="40"/>
        <v>2.4848484848484849</v>
      </c>
      <c r="V90" s="405">
        <f t="shared" si="40"/>
        <v>2.985858585858586</v>
      </c>
      <c r="W90" s="405">
        <f t="shared" si="40"/>
        <v>2.7818181818181817</v>
      </c>
      <c r="X90" s="405">
        <f t="shared" si="40"/>
        <v>2.6797979797979798</v>
      </c>
      <c r="Y90" s="405">
        <f t="shared" si="40"/>
        <v>2.5464646464646465</v>
      </c>
      <c r="Z90" s="405">
        <f t="shared" si="40"/>
        <v>2.3444444444444446</v>
      </c>
      <c r="AA90" s="405">
        <f t="shared" si="40"/>
        <v>2.0050454086781029</v>
      </c>
      <c r="AB90" s="405">
        <f t="shared" si="40"/>
        <v>0.3951322822469493</v>
      </c>
      <c r="AC90" s="405">
        <f t="shared" si="40"/>
        <v>0.3951322822469493</v>
      </c>
    </row>
    <row r="91" spans="2:29" hidden="1">
      <c r="B91" s="123" t="s">
        <v>91</v>
      </c>
      <c r="C91" s="405">
        <f>C88-C43</f>
        <v>0</v>
      </c>
      <c r="D91" s="405">
        <f t="shared" ref="D91:AC91" si="41">D88-D43</f>
        <v>990</v>
      </c>
      <c r="E91" s="405">
        <f t="shared" si="41"/>
        <v>982</v>
      </c>
      <c r="F91" s="405">
        <f t="shared" si="41"/>
        <v>973</v>
      </c>
      <c r="G91" s="405">
        <f t="shared" si="41"/>
        <v>964</v>
      </c>
      <c r="H91" s="405">
        <f t="shared" si="41"/>
        <v>955</v>
      </c>
      <c r="I91" s="405">
        <f t="shared" si="41"/>
        <v>946</v>
      </c>
      <c r="J91" s="405">
        <f t="shared" si="41"/>
        <v>936</v>
      </c>
      <c r="K91" s="405">
        <f t="shared" si="41"/>
        <v>926</v>
      </c>
      <c r="L91" s="405">
        <f t="shared" si="41"/>
        <v>917</v>
      </c>
      <c r="M91" s="405">
        <f t="shared" si="41"/>
        <v>907</v>
      </c>
      <c r="N91" s="405">
        <f t="shared" si="41"/>
        <v>897</v>
      </c>
      <c r="O91" s="405">
        <f t="shared" si="41"/>
        <v>887</v>
      </c>
      <c r="P91" s="405">
        <f t="shared" si="41"/>
        <v>878</v>
      </c>
      <c r="Q91" s="405">
        <f t="shared" si="41"/>
        <v>868</v>
      </c>
      <c r="R91" s="405">
        <f t="shared" si="41"/>
        <v>858</v>
      </c>
      <c r="S91" s="405">
        <f t="shared" si="41"/>
        <v>848</v>
      </c>
      <c r="T91" s="405">
        <f t="shared" si="41"/>
        <v>838</v>
      </c>
      <c r="U91" s="405">
        <f t="shared" si="41"/>
        <v>828</v>
      </c>
      <c r="V91" s="405">
        <f t="shared" si="41"/>
        <v>818</v>
      </c>
      <c r="W91" s="405">
        <f t="shared" si="41"/>
        <v>808</v>
      </c>
      <c r="X91" s="405">
        <f t="shared" si="41"/>
        <v>798</v>
      </c>
      <c r="Y91" s="405">
        <f t="shared" si="41"/>
        <v>788</v>
      </c>
      <c r="Z91" s="405">
        <f t="shared" si="41"/>
        <v>778</v>
      </c>
      <c r="AA91" s="405">
        <f t="shared" si="41"/>
        <v>769</v>
      </c>
      <c r="AB91" s="405">
        <f t="shared" si="41"/>
        <v>29516</v>
      </c>
      <c r="AC91" s="405">
        <f t="shared" si="41"/>
        <v>0</v>
      </c>
    </row>
    <row r="92" spans="2:29" hidden="1">
      <c r="B92" s="123" t="s">
        <v>92</v>
      </c>
      <c r="C92" s="405">
        <f>C91*C90</f>
        <v>0</v>
      </c>
      <c r="D92" s="405">
        <f t="shared" ref="D92:AC92" si="42">D91*D90</f>
        <v>117606.43931795386</v>
      </c>
      <c r="E92" s="405">
        <f t="shared" si="42"/>
        <v>118904.16330645161</v>
      </c>
      <c r="F92" s="405">
        <f t="shared" si="42"/>
        <v>111086.94853683148</v>
      </c>
      <c r="G92" s="405">
        <f t="shared" si="42"/>
        <v>84331.031281533797</v>
      </c>
      <c r="H92" s="405">
        <f t="shared" si="42"/>
        <v>65542.295660948541</v>
      </c>
      <c r="I92" s="405">
        <f t="shared" si="42"/>
        <v>43039.658930373356</v>
      </c>
      <c r="J92" s="405">
        <f t="shared" si="42"/>
        <v>33959.781818181815</v>
      </c>
      <c r="K92" s="405">
        <f t="shared" si="42"/>
        <v>20900.474747474746</v>
      </c>
      <c r="L92" s="405">
        <f t="shared" si="42"/>
        <v>18386.266397578205</v>
      </c>
      <c r="M92" s="405">
        <f t="shared" si="42"/>
        <v>10822.617171717173</v>
      </c>
      <c r="N92" s="405">
        <f t="shared" si="42"/>
        <v>10701.481818181817</v>
      </c>
      <c r="O92" s="405">
        <f t="shared" si="42"/>
        <v>6338.9141414141413</v>
      </c>
      <c r="P92" s="405">
        <f t="shared" si="42"/>
        <v>6674.0403632694251</v>
      </c>
      <c r="Q92" s="405">
        <f t="shared" si="42"/>
        <v>4069.0787878787878</v>
      </c>
      <c r="R92" s="405">
        <f t="shared" si="42"/>
        <v>4526.5999999999995</v>
      </c>
      <c r="S92" s="405">
        <f t="shared" si="42"/>
        <v>2850.6505050505048</v>
      </c>
      <c r="T92" s="405">
        <f t="shared" si="42"/>
        <v>3271.5858585858587</v>
      </c>
      <c r="U92" s="405">
        <f t="shared" si="42"/>
        <v>2057.4545454545455</v>
      </c>
      <c r="V92" s="405">
        <f t="shared" si="42"/>
        <v>2442.4323232323231</v>
      </c>
      <c r="W92" s="405">
        <f t="shared" si="42"/>
        <v>2247.7090909090907</v>
      </c>
      <c r="X92" s="405">
        <f t="shared" si="42"/>
        <v>2138.4787878787879</v>
      </c>
      <c r="Y92" s="405">
        <f t="shared" si="42"/>
        <v>2006.6141414141414</v>
      </c>
      <c r="Z92" s="405">
        <f t="shared" si="42"/>
        <v>1823.9777777777779</v>
      </c>
      <c r="AA92" s="405">
        <f t="shared" si="42"/>
        <v>1541.8799192734612</v>
      </c>
      <c r="AB92" s="405">
        <f t="shared" si="42"/>
        <v>11662.724442800956</v>
      </c>
      <c r="AC92" s="405">
        <f t="shared" si="42"/>
        <v>0</v>
      </c>
    </row>
    <row r="93" spans="2:29" hidden="1">
      <c r="B93" s="123" t="s">
        <v>89</v>
      </c>
      <c r="C93" s="405">
        <f>C89-C92</f>
        <v>67031</v>
      </c>
      <c r="D93" s="405">
        <f>D89-D92</f>
        <v>150916.56068204614</v>
      </c>
      <c r="E93" s="405">
        <f>E89-E92</f>
        <v>269733.83669354836</v>
      </c>
      <c r="F93" s="405">
        <f t="shared" ref="F93:AC93" si="43">F89-F92</f>
        <v>390693.05146316852</v>
      </c>
      <c r="G93" s="405">
        <f t="shared" si="43"/>
        <v>504141.96871846623</v>
      </c>
      <c r="H93" s="405">
        <f t="shared" si="43"/>
        <v>590943.7043390515</v>
      </c>
      <c r="I93" s="405">
        <f t="shared" si="43"/>
        <v>658533.34106962662</v>
      </c>
      <c r="J93" s="405">
        <f t="shared" si="43"/>
        <v>703532.21818181814</v>
      </c>
      <c r="K93" s="405">
        <f t="shared" si="43"/>
        <v>738936.52525252523</v>
      </c>
      <c r="L93" s="405">
        <f t="shared" si="43"/>
        <v>761320.73360242182</v>
      </c>
      <c r="M93" s="405">
        <f t="shared" si="43"/>
        <v>780697.38282828277</v>
      </c>
      <c r="N93" s="405">
        <f t="shared" si="43"/>
        <v>792629.51818181819</v>
      </c>
      <c r="O93" s="405">
        <f t="shared" si="43"/>
        <v>804067.0858585859</v>
      </c>
      <c r="P93" s="405">
        <f t="shared" si="43"/>
        <v>811264.95963673061</v>
      </c>
      <c r="Q93" s="405">
        <f t="shared" si="43"/>
        <v>818510.92121212126</v>
      </c>
      <c r="R93" s="405">
        <f t="shared" si="43"/>
        <v>823276.4</v>
      </c>
      <c r="S93" s="405">
        <f t="shared" si="43"/>
        <v>828280.34949494945</v>
      </c>
      <c r="T93" s="405">
        <f t="shared" si="43"/>
        <v>831724.4141414141</v>
      </c>
      <c r="U93" s="405">
        <f t="shared" si="43"/>
        <v>835398.54545454541</v>
      </c>
      <c r="V93" s="405">
        <f t="shared" si="43"/>
        <v>837969.56767676771</v>
      </c>
      <c r="W93" s="405">
        <f t="shared" si="43"/>
        <v>840918.29090909089</v>
      </c>
      <c r="X93" s="405">
        <f t="shared" si="43"/>
        <v>843680.52121212124</v>
      </c>
      <c r="Y93" s="405">
        <f t="shared" si="43"/>
        <v>846333.38585858583</v>
      </c>
      <c r="Z93" s="405">
        <f t="shared" si="43"/>
        <v>848837.02222222218</v>
      </c>
      <c r="AA93" s="405">
        <f t="shared" si="43"/>
        <v>851106.12008072657</v>
      </c>
      <c r="AB93" s="405">
        <f t="shared" si="43"/>
        <v>852739.27555719903</v>
      </c>
      <c r="AC93" s="405">
        <f t="shared" si="43"/>
        <v>864402</v>
      </c>
    </row>
    <row r="94" spans="2:29" hidden="1">
      <c r="B94" s="123"/>
      <c r="C94" s="405"/>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row>
    <row r="95" spans="2:29" hidden="1">
      <c r="B95" s="123" t="s">
        <v>93</v>
      </c>
      <c r="C95" s="382">
        <v>0</v>
      </c>
      <c r="D95" s="383">
        <v>1000</v>
      </c>
      <c r="E95" s="383">
        <v>2000</v>
      </c>
      <c r="F95" s="383">
        <v>3000</v>
      </c>
      <c r="G95" s="383">
        <v>4000</v>
      </c>
      <c r="H95" s="383">
        <v>5000</v>
      </c>
      <c r="I95" s="383">
        <v>6000</v>
      </c>
      <c r="J95" s="383">
        <v>7000</v>
      </c>
      <c r="K95" s="383">
        <v>8000</v>
      </c>
      <c r="L95" s="383">
        <v>9000</v>
      </c>
      <c r="M95" s="383">
        <v>10000</v>
      </c>
      <c r="N95" s="383">
        <v>11000</v>
      </c>
      <c r="O95" s="383">
        <v>12000</v>
      </c>
      <c r="P95" s="383">
        <v>13000</v>
      </c>
      <c r="Q95" s="383">
        <v>14000</v>
      </c>
      <c r="R95" s="383">
        <v>15000</v>
      </c>
      <c r="S95" s="383">
        <v>16000</v>
      </c>
      <c r="T95" s="383">
        <v>17000</v>
      </c>
      <c r="U95" s="383">
        <v>18000</v>
      </c>
      <c r="V95" s="383">
        <v>19000</v>
      </c>
      <c r="W95" s="383">
        <v>20000</v>
      </c>
      <c r="X95" s="383">
        <v>21000</v>
      </c>
      <c r="Y95" s="383">
        <v>22000</v>
      </c>
      <c r="Z95" s="383">
        <v>23000</v>
      </c>
      <c r="AA95" s="383">
        <v>24000</v>
      </c>
      <c r="AB95" s="383">
        <v>25000</v>
      </c>
      <c r="AC95" s="383" t="s">
        <v>38</v>
      </c>
    </row>
    <row r="96" spans="2:29" hidden="1">
      <c r="B96" s="127" t="s">
        <v>39</v>
      </c>
      <c r="C96" s="382">
        <f>C7</f>
        <v>0</v>
      </c>
      <c r="D96" s="383" t="str">
        <f t="shared" ref="D96:AB96" si="44">C7+1&amp;" - "&amp;D7</f>
        <v>1 - 1000</v>
      </c>
      <c r="E96" s="383" t="str">
        <f t="shared" si="44"/>
        <v>1001 - 2000</v>
      </c>
      <c r="F96" s="383" t="str">
        <f t="shared" si="44"/>
        <v>2001 - 3000</v>
      </c>
      <c r="G96" s="383" t="str">
        <f t="shared" si="44"/>
        <v>3001 - 4000</v>
      </c>
      <c r="H96" s="383" t="str">
        <f t="shared" si="44"/>
        <v>4001 - 5000</v>
      </c>
      <c r="I96" s="383" t="str">
        <f t="shared" si="44"/>
        <v>5001 - 6000</v>
      </c>
      <c r="J96" s="383" t="str">
        <f t="shared" si="44"/>
        <v>6001 - 7000</v>
      </c>
      <c r="K96" s="383" t="str">
        <f t="shared" si="44"/>
        <v>7001 - 8000</v>
      </c>
      <c r="L96" s="383" t="str">
        <f t="shared" si="44"/>
        <v>8001 - 9000</v>
      </c>
      <c r="M96" s="383" t="str">
        <f t="shared" si="44"/>
        <v>9001 - 10000</v>
      </c>
      <c r="N96" s="383" t="str">
        <f t="shared" si="44"/>
        <v>10001 - 11000</v>
      </c>
      <c r="O96" s="383" t="str">
        <f t="shared" si="44"/>
        <v>11001 - 12000</v>
      </c>
      <c r="P96" s="383" t="str">
        <f t="shared" si="44"/>
        <v>12001 - 13000</v>
      </c>
      <c r="Q96" s="383" t="str">
        <f t="shared" si="44"/>
        <v>13001 - 14000</v>
      </c>
      <c r="R96" s="383" t="str">
        <f t="shared" si="44"/>
        <v>14001 - 15000</v>
      </c>
      <c r="S96" s="383" t="str">
        <f t="shared" si="44"/>
        <v>15001 - 16000</v>
      </c>
      <c r="T96" s="383" t="str">
        <f t="shared" si="44"/>
        <v>16001 - 17000</v>
      </c>
      <c r="U96" s="383" t="str">
        <f t="shared" si="44"/>
        <v>17001 - 18000</v>
      </c>
      <c r="V96" s="383" t="str">
        <f t="shared" si="44"/>
        <v>18001 - 19000</v>
      </c>
      <c r="W96" s="383" t="str">
        <f t="shared" si="44"/>
        <v>19001 - 20000</v>
      </c>
      <c r="X96" s="383" t="str">
        <f t="shared" si="44"/>
        <v>20001 - 21000</v>
      </c>
      <c r="Y96" s="383" t="str">
        <f t="shared" si="44"/>
        <v>21001 - 22000</v>
      </c>
      <c r="Z96" s="383" t="str">
        <f t="shared" si="44"/>
        <v>22001 - 23000</v>
      </c>
      <c r="AA96" s="383" t="str">
        <f t="shared" si="44"/>
        <v>23001 - 24000</v>
      </c>
      <c r="AB96" s="383" t="str">
        <f t="shared" si="44"/>
        <v>24001 - 25000</v>
      </c>
      <c r="AC96" s="383" t="s">
        <v>38</v>
      </c>
    </row>
    <row r="97" spans="2:33" ht="13.5" hidden="1" thickBot="1">
      <c r="B97" s="127"/>
      <c r="C97" s="382"/>
      <c r="D97" s="383"/>
      <c r="E97" s="383"/>
      <c r="F97" s="383"/>
      <c r="G97" s="383"/>
      <c r="H97" s="383"/>
      <c r="I97" s="383"/>
      <c r="J97" s="383"/>
      <c r="K97" s="383"/>
      <c r="L97" s="383"/>
      <c r="M97" s="383"/>
      <c r="N97" s="383"/>
      <c r="O97" s="383"/>
      <c r="P97" s="383"/>
      <c r="Q97" s="383"/>
      <c r="R97" s="383"/>
      <c r="S97" s="383"/>
      <c r="T97" s="383"/>
      <c r="U97" s="383"/>
      <c r="V97" s="383"/>
      <c r="W97" s="383"/>
      <c r="X97" s="383"/>
      <c r="Y97" s="383"/>
      <c r="Z97" s="383"/>
      <c r="AA97" s="383"/>
      <c r="AB97" s="383"/>
      <c r="AC97" s="383"/>
    </row>
    <row r="98" spans="2:33" ht="63" customHeight="1">
      <c r="B98" s="1031" t="s">
        <v>379</v>
      </c>
      <c r="C98" s="1032"/>
      <c r="D98" s="1032"/>
      <c r="E98" s="1032"/>
      <c r="F98" s="1032"/>
      <c r="G98" s="1032"/>
      <c r="H98" s="1033"/>
      <c r="I98" s="383"/>
      <c r="J98" s="383"/>
      <c r="K98" s="383"/>
      <c r="L98" s="383"/>
      <c r="M98" s="383"/>
      <c r="N98" s="383"/>
      <c r="O98" s="383"/>
      <c r="P98" s="383"/>
      <c r="Q98" s="383"/>
      <c r="R98" s="383"/>
      <c r="S98" s="383"/>
      <c r="T98" s="383"/>
      <c r="U98" s="383"/>
      <c r="V98" s="383"/>
      <c r="W98" s="383"/>
      <c r="X98" s="383"/>
      <c r="Y98" s="383"/>
      <c r="Z98" s="383"/>
      <c r="AA98" s="383"/>
      <c r="AB98" s="383"/>
      <c r="AC98" s="383"/>
    </row>
    <row r="99" spans="2:33" ht="30.75" customHeight="1">
      <c r="B99" s="1034" t="s">
        <v>447</v>
      </c>
      <c r="C99" s="1035"/>
      <c r="D99" s="1035"/>
      <c r="E99" s="1035"/>
      <c r="F99" s="1035"/>
      <c r="G99" s="1035"/>
      <c r="H99" s="1036"/>
      <c r="I99" s="383"/>
      <c r="J99" s="383"/>
      <c r="K99" s="383"/>
      <c r="L99" s="383"/>
      <c r="M99" s="383"/>
      <c r="N99" s="383"/>
      <c r="O99" s="383"/>
      <c r="P99" s="383"/>
      <c r="Q99" s="383"/>
      <c r="R99" s="383"/>
      <c r="S99" s="383"/>
      <c r="T99" s="383"/>
      <c r="U99" s="383"/>
      <c r="V99" s="383"/>
      <c r="W99" s="383"/>
      <c r="X99" s="383"/>
      <c r="Y99" s="383"/>
      <c r="Z99" s="383"/>
      <c r="AA99" s="383"/>
      <c r="AB99" s="383"/>
      <c r="AC99" s="383"/>
    </row>
    <row r="100" spans="2:33">
      <c r="B100" s="765"/>
      <c r="C100" s="406"/>
      <c r="D100" s="407"/>
      <c r="E100" s="407"/>
      <c r="F100" s="407"/>
      <c r="G100" s="407"/>
      <c r="H100" s="766"/>
      <c r="I100" s="383"/>
      <c r="J100" s="383"/>
      <c r="K100" s="383"/>
      <c r="L100" s="383"/>
      <c r="M100" s="383"/>
      <c r="N100" s="383"/>
      <c r="O100" s="383"/>
      <c r="P100" s="383"/>
      <c r="Q100" s="383"/>
      <c r="R100" s="383"/>
      <c r="S100" s="383"/>
      <c r="T100" s="383"/>
      <c r="U100" s="383"/>
      <c r="V100" s="383"/>
      <c r="W100" s="383"/>
      <c r="X100" s="383"/>
      <c r="Y100" s="383"/>
      <c r="Z100" s="383"/>
      <c r="AA100" s="383"/>
      <c r="AB100" s="383"/>
      <c r="AC100" s="383"/>
    </row>
    <row r="101" spans="2:33" ht="21" customHeight="1">
      <c r="B101" s="1038" t="s">
        <v>371</v>
      </c>
      <c r="C101" s="1039"/>
      <c r="D101" s="704">
        <f>ROUND((SUMPRODUCT(C106:AB106,C95:AB95)+AC106*AE37)/SUM(C106:AC106),0)</f>
        <v>5097</v>
      </c>
      <c r="E101" s="710" t="s">
        <v>177</v>
      </c>
      <c r="F101" s="407"/>
      <c r="G101" s="407"/>
      <c r="H101" s="766"/>
      <c r="I101" s="383"/>
      <c r="J101" s="383"/>
      <c r="K101" s="383"/>
      <c r="L101" s="383"/>
      <c r="M101" s="383"/>
      <c r="N101" s="383"/>
      <c r="O101" s="383"/>
      <c r="P101" s="383"/>
      <c r="Q101" s="383"/>
      <c r="R101" s="383"/>
      <c r="S101" s="383"/>
      <c r="T101" s="383"/>
      <c r="U101" s="383"/>
      <c r="V101" s="383"/>
      <c r="W101" s="383"/>
      <c r="X101" s="383"/>
      <c r="Y101" s="383"/>
      <c r="Z101" s="383"/>
      <c r="AA101" s="383"/>
      <c r="AB101" s="383"/>
      <c r="AC101" s="383"/>
    </row>
    <row r="102" spans="2:33" ht="21" customHeight="1">
      <c r="B102" s="767"/>
      <c r="C102" s="711"/>
      <c r="D102" s="704"/>
      <c r="E102" s="710"/>
      <c r="F102" s="407"/>
      <c r="G102" s="407"/>
      <c r="H102" s="766"/>
      <c r="I102" s="383"/>
      <c r="J102" s="383"/>
      <c r="K102" s="383"/>
      <c r="L102" s="383"/>
      <c r="M102" s="383"/>
      <c r="N102" s="383"/>
      <c r="O102" s="383"/>
      <c r="P102" s="383"/>
      <c r="Q102" s="383"/>
      <c r="R102" s="383"/>
      <c r="S102" s="383"/>
      <c r="T102" s="383"/>
      <c r="U102" s="383"/>
      <c r="V102" s="383"/>
      <c r="W102" s="383"/>
      <c r="X102" s="383"/>
      <c r="Y102" s="383"/>
      <c r="Z102" s="383"/>
      <c r="AA102" s="383"/>
      <c r="AB102" s="383"/>
      <c r="AC102" s="383"/>
    </row>
    <row r="103" spans="2:33" ht="15.75" thickBot="1">
      <c r="B103" s="768" t="s">
        <v>448</v>
      </c>
      <c r="C103" s="769"/>
      <c r="D103" s="770"/>
      <c r="E103" s="770"/>
      <c r="F103" s="770"/>
      <c r="G103" s="770"/>
      <c r="H103" s="771"/>
      <c r="I103" s="383"/>
      <c r="J103" s="383"/>
      <c r="K103" s="383"/>
      <c r="L103" s="383"/>
      <c r="M103" s="383"/>
      <c r="N103" s="383"/>
      <c r="O103" s="383"/>
      <c r="P103" s="383"/>
      <c r="Q103" s="383"/>
      <c r="R103" s="383"/>
      <c r="S103" s="383"/>
      <c r="T103" s="383"/>
      <c r="U103" s="383"/>
      <c r="V103" s="383"/>
      <c r="W103" s="383"/>
      <c r="X103" s="383"/>
      <c r="Y103" s="383"/>
      <c r="Z103" s="383"/>
      <c r="AA103" s="383"/>
      <c r="AB103" s="383"/>
      <c r="AC103" s="383"/>
    </row>
    <row r="104" spans="2:33" s="130" customFormat="1" ht="24" customHeight="1">
      <c r="B104" s="744" t="str">
        <f t="shared" ref="B104:AC104" si="45">B27</f>
        <v>Gallons/month:</v>
      </c>
      <c r="C104" s="745">
        <f t="shared" si="45"/>
        <v>0</v>
      </c>
      <c r="D104" s="745" t="str">
        <f t="shared" si="45"/>
        <v>1 - 1000</v>
      </c>
      <c r="E104" s="745" t="str">
        <f t="shared" si="45"/>
        <v>1001 - 2000</v>
      </c>
      <c r="F104" s="745" t="str">
        <f t="shared" si="45"/>
        <v>2001 - 3000</v>
      </c>
      <c r="G104" s="745" t="str">
        <f t="shared" si="45"/>
        <v>3001 - 4000</v>
      </c>
      <c r="H104" s="745" t="str">
        <f t="shared" si="45"/>
        <v>4001 - 5000</v>
      </c>
      <c r="I104" s="718" t="str">
        <f t="shared" si="45"/>
        <v>5001 - 6000</v>
      </c>
      <c r="J104" s="718" t="str">
        <f t="shared" si="45"/>
        <v>6001 - 7000</v>
      </c>
      <c r="K104" s="718" t="str">
        <f t="shared" si="45"/>
        <v>7001 - 8000</v>
      </c>
      <c r="L104" s="718" t="str">
        <f t="shared" si="45"/>
        <v>8001 - 9000</v>
      </c>
      <c r="M104" s="718" t="str">
        <f t="shared" si="45"/>
        <v>9001 - 10000</v>
      </c>
      <c r="N104" s="718" t="str">
        <f t="shared" si="45"/>
        <v>10001 - 11000</v>
      </c>
      <c r="O104" s="718" t="str">
        <f t="shared" si="45"/>
        <v>11001 - 12000</v>
      </c>
      <c r="P104" s="718" t="str">
        <f t="shared" si="45"/>
        <v>12001 - 13000</v>
      </c>
      <c r="Q104" s="718" t="str">
        <f t="shared" si="45"/>
        <v>13001 - 14000</v>
      </c>
      <c r="R104" s="718" t="str">
        <f t="shared" si="45"/>
        <v>14001 - 15000</v>
      </c>
      <c r="S104" s="718" t="str">
        <f t="shared" si="45"/>
        <v>15001 - 16000</v>
      </c>
      <c r="T104" s="718" t="str">
        <f t="shared" si="45"/>
        <v>16001 - 17000</v>
      </c>
      <c r="U104" s="718" t="str">
        <f t="shared" si="45"/>
        <v>17001 - 18000</v>
      </c>
      <c r="V104" s="718" t="str">
        <f t="shared" si="45"/>
        <v>18001 - 19000</v>
      </c>
      <c r="W104" s="718" t="str">
        <f t="shared" si="45"/>
        <v>19001 - 20000</v>
      </c>
      <c r="X104" s="718" t="str">
        <f t="shared" si="45"/>
        <v>20001 - 21000</v>
      </c>
      <c r="Y104" s="718" t="str">
        <f t="shared" si="45"/>
        <v>21001 - 22000</v>
      </c>
      <c r="Z104" s="718" t="str">
        <f t="shared" si="45"/>
        <v>22001 - 23000</v>
      </c>
      <c r="AA104" s="718" t="str">
        <f t="shared" si="45"/>
        <v>23001 - 24000</v>
      </c>
      <c r="AB104" s="718" t="str">
        <f t="shared" si="45"/>
        <v>24001 - 25000</v>
      </c>
      <c r="AC104" s="719" t="str">
        <f t="shared" si="45"/>
        <v>&gt;25,000</v>
      </c>
    </row>
    <row r="105" spans="2:33" s="129" customFormat="1" ht="15" hidden="1">
      <c r="B105" s="412" t="s">
        <v>94</v>
      </c>
      <c r="C105" s="720">
        <f t="shared" ref="C105:AC105" si="46">C93</f>
        <v>67031</v>
      </c>
      <c r="D105" s="720">
        <f t="shared" si="46"/>
        <v>150916.56068204614</v>
      </c>
      <c r="E105" s="720">
        <f t="shared" si="46"/>
        <v>269733.83669354836</v>
      </c>
      <c r="F105" s="720">
        <f t="shared" si="46"/>
        <v>390693.05146316852</v>
      </c>
      <c r="G105" s="720">
        <f t="shared" si="46"/>
        <v>504141.96871846623</v>
      </c>
      <c r="H105" s="720">
        <f t="shared" si="46"/>
        <v>590943.7043390515</v>
      </c>
      <c r="I105" s="720">
        <f t="shared" si="46"/>
        <v>658533.34106962662</v>
      </c>
      <c r="J105" s="720">
        <f t="shared" si="46"/>
        <v>703532.21818181814</v>
      </c>
      <c r="K105" s="720">
        <f t="shared" si="46"/>
        <v>738936.52525252523</v>
      </c>
      <c r="L105" s="720">
        <f t="shared" si="46"/>
        <v>761320.73360242182</v>
      </c>
      <c r="M105" s="720">
        <f t="shared" si="46"/>
        <v>780697.38282828277</v>
      </c>
      <c r="N105" s="720">
        <f t="shared" si="46"/>
        <v>792629.51818181819</v>
      </c>
      <c r="O105" s="720">
        <f t="shared" si="46"/>
        <v>804067.0858585859</v>
      </c>
      <c r="P105" s="720">
        <f t="shared" si="46"/>
        <v>811264.95963673061</v>
      </c>
      <c r="Q105" s="720">
        <f t="shared" si="46"/>
        <v>818510.92121212126</v>
      </c>
      <c r="R105" s="720">
        <f t="shared" si="46"/>
        <v>823276.4</v>
      </c>
      <c r="S105" s="720">
        <f t="shared" si="46"/>
        <v>828280.34949494945</v>
      </c>
      <c r="T105" s="720">
        <f t="shared" si="46"/>
        <v>831724.4141414141</v>
      </c>
      <c r="U105" s="720">
        <f t="shared" si="46"/>
        <v>835398.54545454541</v>
      </c>
      <c r="V105" s="720">
        <f t="shared" si="46"/>
        <v>837969.56767676771</v>
      </c>
      <c r="W105" s="720">
        <f t="shared" si="46"/>
        <v>840918.29090909089</v>
      </c>
      <c r="X105" s="720">
        <f t="shared" si="46"/>
        <v>843680.52121212124</v>
      </c>
      <c r="Y105" s="720">
        <f t="shared" si="46"/>
        <v>846333.38585858583</v>
      </c>
      <c r="Z105" s="720">
        <f t="shared" si="46"/>
        <v>848837.02222222218</v>
      </c>
      <c r="AA105" s="720">
        <f t="shared" si="46"/>
        <v>851106.12008072657</v>
      </c>
      <c r="AB105" s="720">
        <f t="shared" si="46"/>
        <v>852739.27555719903</v>
      </c>
      <c r="AC105" s="721">
        <f t="shared" si="46"/>
        <v>864402</v>
      </c>
    </row>
    <row r="106" spans="2:33" s="129" customFormat="1" ht="15">
      <c r="B106" s="348" t="s">
        <v>449</v>
      </c>
      <c r="C106" s="720">
        <f>ROUND(C105,0)</f>
        <v>67031</v>
      </c>
      <c r="D106" s="722">
        <f>ROUND(D105-C105,0)</f>
        <v>83886</v>
      </c>
      <c r="E106" s="722">
        <f t="shared" ref="E106:AC106" si="47">ROUND(E105-D105,0)</f>
        <v>118817</v>
      </c>
      <c r="F106" s="722">
        <f t="shared" si="47"/>
        <v>120959</v>
      </c>
      <c r="G106" s="722">
        <f t="shared" si="47"/>
        <v>113449</v>
      </c>
      <c r="H106" s="722">
        <f t="shared" si="47"/>
        <v>86802</v>
      </c>
      <c r="I106" s="722">
        <f t="shared" si="47"/>
        <v>67590</v>
      </c>
      <c r="J106" s="722">
        <f t="shared" si="47"/>
        <v>44999</v>
      </c>
      <c r="K106" s="722">
        <f t="shared" si="47"/>
        <v>35404</v>
      </c>
      <c r="L106" s="722">
        <f t="shared" si="47"/>
        <v>22384</v>
      </c>
      <c r="M106" s="722">
        <f t="shared" si="47"/>
        <v>19377</v>
      </c>
      <c r="N106" s="722">
        <f t="shared" si="47"/>
        <v>11932</v>
      </c>
      <c r="O106" s="722">
        <f t="shared" si="47"/>
        <v>11438</v>
      </c>
      <c r="P106" s="722">
        <f t="shared" si="47"/>
        <v>7198</v>
      </c>
      <c r="Q106" s="722">
        <f t="shared" si="47"/>
        <v>7246</v>
      </c>
      <c r="R106" s="722">
        <f t="shared" si="47"/>
        <v>4765</v>
      </c>
      <c r="S106" s="722">
        <f t="shared" si="47"/>
        <v>5004</v>
      </c>
      <c r="T106" s="722">
        <f t="shared" si="47"/>
        <v>3444</v>
      </c>
      <c r="U106" s="722">
        <f t="shared" si="47"/>
        <v>3674</v>
      </c>
      <c r="V106" s="722">
        <f t="shared" si="47"/>
        <v>2571</v>
      </c>
      <c r="W106" s="722">
        <f t="shared" si="47"/>
        <v>2949</v>
      </c>
      <c r="X106" s="722">
        <f t="shared" si="47"/>
        <v>2762</v>
      </c>
      <c r="Y106" s="722">
        <f t="shared" si="47"/>
        <v>2653</v>
      </c>
      <c r="Z106" s="722">
        <f t="shared" si="47"/>
        <v>2504</v>
      </c>
      <c r="AA106" s="722">
        <f t="shared" si="47"/>
        <v>2269</v>
      </c>
      <c r="AB106" s="722">
        <f t="shared" si="47"/>
        <v>1633</v>
      </c>
      <c r="AC106" s="723">
        <f t="shared" si="47"/>
        <v>11663</v>
      </c>
    </row>
    <row r="107" spans="2:33" s="411" customFormat="1" ht="20.25" customHeight="1">
      <c r="B107" s="727" t="s">
        <v>302</v>
      </c>
      <c r="C107" s="724">
        <f t="shared" ref="C107:AC107" si="48">C106/SUM($C$106:$AC$106)</f>
        <v>7.7546005740378038E-2</v>
      </c>
      <c r="D107" s="724">
        <f t="shared" si="48"/>
        <v>9.7045012569368691E-2</v>
      </c>
      <c r="E107" s="724">
        <f t="shared" si="48"/>
        <v>0.13745556181549579</v>
      </c>
      <c r="F107" s="724">
        <f t="shared" si="48"/>
        <v>0.13993357265071962</v>
      </c>
      <c r="G107" s="724">
        <f t="shared" si="48"/>
        <v>0.1312454954459899</v>
      </c>
      <c r="H107" s="724">
        <f t="shared" si="48"/>
        <v>0.10041843908454737</v>
      </c>
      <c r="I107" s="724">
        <f t="shared" si="48"/>
        <v>7.8192694842567648E-2</v>
      </c>
      <c r="J107" s="724">
        <f t="shared" si="48"/>
        <v>5.2057894292361316E-2</v>
      </c>
      <c r="K107" s="724">
        <f t="shared" si="48"/>
        <v>4.0957747717210606E-2</v>
      </c>
      <c r="L107" s="724">
        <f t="shared" si="48"/>
        <v>2.5895328914869568E-2</v>
      </c>
      <c r="M107" s="724">
        <f t="shared" si="48"/>
        <v>2.2416627429566995E-2</v>
      </c>
      <c r="N107" s="724">
        <f t="shared" si="48"/>
        <v>1.3803746632068606E-2</v>
      </c>
      <c r="O107" s="724">
        <f t="shared" si="48"/>
        <v>1.3232253937110352E-2</v>
      </c>
      <c r="P107" s="724">
        <f t="shared" si="48"/>
        <v>8.3271344500192614E-3</v>
      </c>
      <c r="Q107" s="724">
        <f t="shared" si="48"/>
        <v>8.3826641045901037E-3</v>
      </c>
      <c r="R107" s="724">
        <f t="shared" si="48"/>
        <v>5.5124750839596805E-3</v>
      </c>
      <c r="S107" s="724">
        <f t="shared" si="48"/>
        <v>5.7889664890103344E-3</v>
      </c>
      <c r="T107" s="724">
        <f t="shared" si="48"/>
        <v>3.9842527154579522E-3</v>
      </c>
      <c r="U107" s="724">
        <f t="shared" si="48"/>
        <v>4.2503323102765726E-3</v>
      </c>
      <c r="V107" s="724">
        <f t="shared" si="48"/>
        <v>2.9743071229507531E-3</v>
      </c>
      <c r="W107" s="724">
        <f t="shared" si="48"/>
        <v>3.4116031526961383E-3</v>
      </c>
      <c r="X107" s="724">
        <f t="shared" si="48"/>
        <v>3.1952688734305642E-3</v>
      </c>
      <c r="Y107" s="724">
        <f t="shared" si="48"/>
        <v>3.0691702828426091E-3</v>
      </c>
      <c r="Z107" s="724">
        <f t="shared" si="48"/>
        <v>2.8967969801122857E-3</v>
      </c>
      <c r="AA107" s="724">
        <f t="shared" si="48"/>
        <v>2.6249330462758689E-3</v>
      </c>
      <c r="AB107" s="724">
        <f t="shared" si="48"/>
        <v>1.8891651232122054E-3</v>
      </c>
      <c r="AC107" s="725">
        <f t="shared" si="48"/>
        <v>1.3492549192911176E-2</v>
      </c>
    </row>
    <row r="108" spans="2:33" s="411" customFormat="1" ht="14.25">
      <c r="B108" s="727" t="s">
        <v>450</v>
      </c>
      <c r="C108" s="728">
        <f t="shared" ref="C108:AC108" si="49">C106-C18</f>
        <v>0</v>
      </c>
      <c r="D108" s="728">
        <f t="shared" si="49"/>
        <v>832</v>
      </c>
      <c r="E108" s="728">
        <f t="shared" si="49"/>
        <v>379</v>
      </c>
      <c r="F108" s="728">
        <f t="shared" si="49"/>
        <v>844</v>
      </c>
      <c r="G108" s="728">
        <f t="shared" si="49"/>
        <v>307</v>
      </c>
      <c r="H108" s="728">
        <f t="shared" si="49"/>
        <v>109</v>
      </c>
      <c r="I108" s="728">
        <f t="shared" si="49"/>
        <v>-423</v>
      </c>
      <c r="J108" s="728">
        <f t="shared" si="49"/>
        <v>-88</v>
      </c>
      <c r="K108" s="728">
        <f t="shared" si="49"/>
        <v>-515</v>
      </c>
      <c r="L108" s="728">
        <f t="shared" si="49"/>
        <v>39</v>
      </c>
      <c r="M108" s="728">
        <f t="shared" si="49"/>
        <v>-493</v>
      </c>
      <c r="N108" s="728">
        <f t="shared" si="49"/>
        <v>119</v>
      </c>
      <c r="O108" s="728">
        <f t="shared" si="49"/>
        <v>-373</v>
      </c>
      <c r="P108" s="728">
        <f t="shared" si="49"/>
        <v>123</v>
      </c>
      <c r="Q108" s="728">
        <f t="shared" si="49"/>
        <v>-287</v>
      </c>
      <c r="R108" s="728">
        <f t="shared" si="49"/>
        <v>124</v>
      </c>
      <c r="S108" s="728">
        <f t="shared" si="49"/>
        <v>-219</v>
      </c>
      <c r="T108" s="728">
        <f t="shared" si="49"/>
        <v>116</v>
      </c>
      <c r="U108" s="728">
        <f t="shared" si="49"/>
        <v>-191</v>
      </c>
      <c r="V108" s="728">
        <f t="shared" si="49"/>
        <v>111</v>
      </c>
      <c r="W108" s="728">
        <f t="shared" si="49"/>
        <v>-7</v>
      </c>
      <c r="X108" s="728">
        <f t="shared" si="49"/>
        <v>8</v>
      </c>
      <c r="Y108" s="728">
        <f t="shared" si="49"/>
        <v>0</v>
      </c>
      <c r="Z108" s="728">
        <f t="shared" si="49"/>
        <v>-17</v>
      </c>
      <c r="AA108" s="728">
        <f t="shared" si="49"/>
        <v>-52</v>
      </c>
      <c r="AB108" s="728">
        <f t="shared" si="49"/>
        <v>-354</v>
      </c>
      <c r="AC108" s="729">
        <f t="shared" si="49"/>
        <v>-91</v>
      </c>
    </row>
    <row r="109" spans="2:33" s="129" customFormat="1" ht="15">
      <c r="B109" s="412"/>
      <c r="C109" s="408"/>
      <c r="D109" s="409"/>
      <c r="E109" s="409"/>
      <c r="F109" s="409"/>
      <c r="G109" s="409"/>
      <c r="H109" s="409"/>
      <c r="I109" s="409"/>
      <c r="J109" s="409"/>
      <c r="K109" s="409"/>
      <c r="L109" s="409"/>
      <c r="M109" s="409"/>
      <c r="N109" s="409"/>
      <c r="O109" s="409"/>
      <c r="P109" s="409"/>
      <c r="Q109" s="409"/>
      <c r="R109" s="409"/>
      <c r="S109" s="409"/>
      <c r="T109" s="409"/>
      <c r="U109" s="409"/>
      <c r="V109" s="409"/>
      <c r="W109" s="409"/>
      <c r="X109" s="409"/>
      <c r="Y109" s="409"/>
      <c r="Z109" s="409"/>
      <c r="AA109" s="409"/>
      <c r="AB109" s="409"/>
      <c r="AC109" s="410"/>
    </row>
    <row r="110" spans="2:33" s="415" customFormat="1" ht="15">
      <c r="B110" s="726" t="s">
        <v>309</v>
      </c>
      <c r="C110" s="712">
        <f t="array" ref="C110:AB110">TRANSPOSE('Input COMPARATIVE Rates'!F55:F80)</f>
        <v>8</v>
      </c>
      <c r="D110" s="712">
        <v>9.5</v>
      </c>
      <c r="E110" s="712">
        <v>11</v>
      </c>
      <c r="F110" s="712">
        <v>13.5</v>
      </c>
      <c r="G110" s="712">
        <v>16</v>
      </c>
      <c r="H110" s="712">
        <v>18.5</v>
      </c>
      <c r="I110" s="712">
        <v>21</v>
      </c>
      <c r="J110" s="712">
        <v>23.5</v>
      </c>
      <c r="K110" s="712">
        <v>26</v>
      </c>
      <c r="L110" s="712">
        <v>28.5</v>
      </c>
      <c r="M110" s="712">
        <v>31</v>
      </c>
      <c r="N110" s="712">
        <v>33.5</v>
      </c>
      <c r="O110" s="712">
        <v>36</v>
      </c>
      <c r="P110" s="712">
        <v>38.5</v>
      </c>
      <c r="Q110" s="712">
        <v>41</v>
      </c>
      <c r="R110" s="712">
        <v>43.5</v>
      </c>
      <c r="S110" s="712">
        <v>46</v>
      </c>
      <c r="T110" s="712">
        <v>48.5</v>
      </c>
      <c r="U110" s="712">
        <v>51</v>
      </c>
      <c r="V110" s="712">
        <v>53.5</v>
      </c>
      <c r="W110" s="712">
        <v>56</v>
      </c>
      <c r="X110" s="712">
        <v>58.5</v>
      </c>
      <c r="Y110" s="712">
        <v>61</v>
      </c>
      <c r="Z110" s="712">
        <v>63.5</v>
      </c>
      <c r="AA110" s="712">
        <v>66</v>
      </c>
      <c r="AB110" s="712">
        <v>68.5</v>
      </c>
      <c r="AC110" s="713">
        <f>AC8</f>
        <v>74.144999999999996</v>
      </c>
      <c r="AD110" s="413"/>
      <c r="AE110" s="414"/>
      <c r="AF110" s="414"/>
      <c r="AG110" s="414"/>
    </row>
    <row r="111" spans="2:33" s="129" customFormat="1" ht="15">
      <c r="B111" s="348" t="s">
        <v>451</v>
      </c>
      <c r="C111" s="714">
        <f t="shared" ref="C111:AC111" si="50">C106*C110</f>
        <v>536248</v>
      </c>
      <c r="D111" s="714">
        <f t="shared" si="50"/>
        <v>796917</v>
      </c>
      <c r="E111" s="714">
        <f t="shared" si="50"/>
        <v>1306987</v>
      </c>
      <c r="F111" s="714">
        <f t="shared" si="50"/>
        <v>1632946.5</v>
      </c>
      <c r="G111" s="714">
        <f t="shared" si="50"/>
        <v>1815184</v>
      </c>
      <c r="H111" s="714">
        <f t="shared" si="50"/>
        <v>1605837</v>
      </c>
      <c r="I111" s="714">
        <f t="shared" si="50"/>
        <v>1419390</v>
      </c>
      <c r="J111" s="714">
        <f t="shared" si="50"/>
        <v>1057476.5</v>
      </c>
      <c r="K111" s="714">
        <f t="shared" si="50"/>
        <v>920504</v>
      </c>
      <c r="L111" s="714">
        <f t="shared" si="50"/>
        <v>637944</v>
      </c>
      <c r="M111" s="714">
        <f t="shared" si="50"/>
        <v>600687</v>
      </c>
      <c r="N111" s="714">
        <f t="shared" si="50"/>
        <v>399722</v>
      </c>
      <c r="O111" s="714">
        <f t="shared" si="50"/>
        <v>411768</v>
      </c>
      <c r="P111" s="714">
        <f t="shared" si="50"/>
        <v>277123</v>
      </c>
      <c r="Q111" s="714">
        <f t="shared" si="50"/>
        <v>297086</v>
      </c>
      <c r="R111" s="714">
        <f t="shared" si="50"/>
        <v>207277.5</v>
      </c>
      <c r="S111" s="714">
        <f t="shared" si="50"/>
        <v>230184</v>
      </c>
      <c r="T111" s="714">
        <f t="shared" si="50"/>
        <v>167034</v>
      </c>
      <c r="U111" s="714">
        <f t="shared" si="50"/>
        <v>187374</v>
      </c>
      <c r="V111" s="714">
        <f t="shared" si="50"/>
        <v>137548.5</v>
      </c>
      <c r="W111" s="714">
        <f t="shared" si="50"/>
        <v>165144</v>
      </c>
      <c r="X111" s="714">
        <f t="shared" si="50"/>
        <v>161577</v>
      </c>
      <c r="Y111" s="714">
        <f t="shared" si="50"/>
        <v>161833</v>
      </c>
      <c r="Z111" s="714">
        <f t="shared" si="50"/>
        <v>159004</v>
      </c>
      <c r="AA111" s="714">
        <f t="shared" si="50"/>
        <v>149754</v>
      </c>
      <c r="AB111" s="714">
        <f t="shared" si="50"/>
        <v>111860.5</v>
      </c>
      <c r="AC111" s="715">
        <f t="shared" si="50"/>
        <v>864753.13500000001</v>
      </c>
    </row>
    <row r="112" spans="2:33" s="129" customFormat="1" ht="15">
      <c r="B112" s="691" t="s">
        <v>305</v>
      </c>
      <c r="C112" s="714">
        <f t="shared" ref="C112:AC112" si="51">$C$110*C106</f>
        <v>536248</v>
      </c>
      <c r="D112" s="714">
        <f t="shared" si="51"/>
        <v>671088</v>
      </c>
      <c r="E112" s="714">
        <f t="shared" si="51"/>
        <v>950536</v>
      </c>
      <c r="F112" s="714">
        <f t="shared" si="51"/>
        <v>967672</v>
      </c>
      <c r="G112" s="714">
        <f t="shared" si="51"/>
        <v>907592</v>
      </c>
      <c r="H112" s="714">
        <f t="shared" si="51"/>
        <v>694416</v>
      </c>
      <c r="I112" s="714">
        <f t="shared" si="51"/>
        <v>540720</v>
      </c>
      <c r="J112" s="714">
        <f t="shared" si="51"/>
        <v>359992</v>
      </c>
      <c r="K112" s="714">
        <f t="shared" si="51"/>
        <v>283232</v>
      </c>
      <c r="L112" s="714">
        <f t="shared" si="51"/>
        <v>179072</v>
      </c>
      <c r="M112" s="714">
        <f t="shared" si="51"/>
        <v>155016</v>
      </c>
      <c r="N112" s="714">
        <f t="shared" si="51"/>
        <v>95456</v>
      </c>
      <c r="O112" s="714">
        <f t="shared" si="51"/>
        <v>91504</v>
      </c>
      <c r="P112" s="714">
        <f t="shared" si="51"/>
        <v>57584</v>
      </c>
      <c r="Q112" s="714">
        <f t="shared" si="51"/>
        <v>57968</v>
      </c>
      <c r="R112" s="714">
        <f t="shared" si="51"/>
        <v>38120</v>
      </c>
      <c r="S112" s="714">
        <f t="shared" si="51"/>
        <v>40032</v>
      </c>
      <c r="T112" s="714">
        <f t="shared" si="51"/>
        <v>27552</v>
      </c>
      <c r="U112" s="714">
        <f t="shared" si="51"/>
        <v>29392</v>
      </c>
      <c r="V112" s="714">
        <f t="shared" si="51"/>
        <v>20568</v>
      </c>
      <c r="W112" s="714">
        <f t="shared" si="51"/>
        <v>23592</v>
      </c>
      <c r="X112" s="714">
        <f t="shared" si="51"/>
        <v>22096</v>
      </c>
      <c r="Y112" s="714">
        <f t="shared" si="51"/>
        <v>21224</v>
      </c>
      <c r="Z112" s="714">
        <f t="shared" si="51"/>
        <v>20032</v>
      </c>
      <c r="AA112" s="714">
        <f t="shared" si="51"/>
        <v>18152</v>
      </c>
      <c r="AB112" s="714">
        <f t="shared" si="51"/>
        <v>13064</v>
      </c>
      <c r="AC112" s="715">
        <f t="shared" si="51"/>
        <v>93304</v>
      </c>
      <c r="AD112" s="697" t="s">
        <v>438</v>
      </c>
    </row>
    <row r="113" spans="2:51" s="129" customFormat="1" ht="15.75" thickBot="1">
      <c r="B113" s="348" t="s">
        <v>306</v>
      </c>
      <c r="C113" s="714">
        <f>C111-C112</f>
        <v>0</v>
      </c>
      <c r="D113" s="714">
        <f t="shared" ref="D113:AC113" si="52">D111-D112</f>
        <v>125829</v>
      </c>
      <c r="E113" s="714">
        <f t="shared" si="52"/>
        <v>356451</v>
      </c>
      <c r="F113" s="714">
        <f t="shared" si="52"/>
        <v>665274.5</v>
      </c>
      <c r="G113" s="714">
        <f t="shared" si="52"/>
        <v>907592</v>
      </c>
      <c r="H113" s="714">
        <f t="shared" si="52"/>
        <v>911421</v>
      </c>
      <c r="I113" s="716">
        <f t="shared" si="52"/>
        <v>878670</v>
      </c>
      <c r="J113" s="716">
        <f t="shared" si="52"/>
        <v>697484.5</v>
      </c>
      <c r="K113" s="716">
        <f t="shared" si="52"/>
        <v>637272</v>
      </c>
      <c r="L113" s="716">
        <f t="shared" si="52"/>
        <v>458872</v>
      </c>
      <c r="M113" s="716">
        <f t="shared" si="52"/>
        <v>445671</v>
      </c>
      <c r="N113" s="716">
        <f t="shared" si="52"/>
        <v>304266</v>
      </c>
      <c r="O113" s="716">
        <f t="shared" si="52"/>
        <v>320264</v>
      </c>
      <c r="P113" s="716">
        <f t="shared" si="52"/>
        <v>219539</v>
      </c>
      <c r="Q113" s="716">
        <f t="shared" si="52"/>
        <v>239118</v>
      </c>
      <c r="R113" s="716">
        <f t="shared" si="52"/>
        <v>169157.5</v>
      </c>
      <c r="S113" s="716">
        <f t="shared" si="52"/>
        <v>190152</v>
      </c>
      <c r="T113" s="716">
        <f t="shared" si="52"/>
        <v>139482</v>
      </c>
      <c r="U113" s="716">
        <f t="shared" si="52"/>
        <v>157982</v>
      </c>
      <c r="V113" s="716">
        <f t="shared" si="52"/>
        <v>116980.5</v>
      </c>
      <c r="W113" s="716">
        <f t="shared" si="52"/>
        <v>141552</v>
      </c>
      <c r="X113" s="716">
        <f t="shared" si="52"/>
        <v>139481</v>
      </c>
      <c r="Y113" s="716">
        <f t="shared" si="52"/>
        <v>140609</v>
      </c>
      <c r="Z113" s="716">
        <f t="shared" si="52"/>
        <v>138972</v>
      </c>
      <c r="AA113" s="716">
        <f t="shared" si="52"/>
        <v>131602</v>
      </c>
      <c r="AB113" s="716">
        <f t="shared" si="52"/>
        <v>98796.5</v>
      </c>
      <c r="AC113" s="717">
        <f t="shared" si="52"/>
        <v>771449.13500000001</v>
      </c>
    </row>
    <row r="114" spans="2:51">
      <c r="B114" s="774"/>
      <c r="C114" s="775"/>
      <c r="D114" s="775"/>
      <c r="E114" s="775"/>
      <c r="F114" s="775"/>
      <c r="G114" s="775"/>
      <c r="H114" s="776"/>
      <c r="I114" s="126"/>
      <c r="J114" s="126"/>
      <c r="K114" s="126"/>
      <c r="L114" s="126"/>
      <c r="M114" s="126"/>
      <c r="N114" s="126"/>
      <c r="O114" s="126"/>
      <c r="P114" s="126"/>
      <c r="Q114" s="126"/>
      <c r="R114" s="126"/>
      <c r="S114" s="126"/>
      <c r="T114" s="126"/>
      <c r="U114" s="126"/>
      <c r="V114" s="126"/>
      <c r="W114" s="126"/>
      <c r="X114" s="126"/>
      <c r="Y114" s="126"/>
      <c r="Z114" s="126"/>
      <c r="AA114" s="126"/>
      <c r="AB114" s="126"/>
      <c r="AC114" s="126"/>
    </row>
    <row r="115" spans="2:51" ht="31.5" customHeight="1">
      <c r="B115" s="1044" t="s">
        <v>310</v>
      </c>
      <c r="C115" s="1045"/>
      <c r="D115" s="1045"/>
      <c r="E115" s="731">
        <f>ROUND(SUM(C111:AC111),-3)</f>
        <v>16419000</v>
      </c>
      <c r="F115" s="417"/>
      <c r="G115" s="730"/>
      <c r="H115" s="777"/>
      <c r="I115" s="126"/>
      <c r="J115" s="126"/>
      <c r="K115" s="126"/>
      <c r="L115" s="126"/>
      <c r="M115" s="126"/>
      <c r="N115" s="126"/>
      <c r="O115" s="126"/>
      <c r="P115" s="126"/>
      <c r="Q115" s="126"/>
      <c r="R115" s="126"/>
      <c r="S115" s="126"/>
      <c r="T115" s="126"/>
      <c r="U115" s="126"/>
      <c r="V115" s="126"/>
      <c r="W115" s="126"/>
      <c r="X115" s="126"/>
      <c r="Y115" s="126"/>
      <c r="Z115" s="126"/>
      <c r="AA115" s="126"/>
      <c r="AB115" s="126"/>
      <c r="AC115" s="126"/>
    </row>
    <row r="116" spans="2:51" ht="15.75">
      <c r="B116" s="778"/>
      <c r="C116" s="418"/>
      <c r="D116" s="418"/>
      <c r="E116" s="418"/>
      <c r="F116" s="418"/>
      <c r="G116" s="418"/>
      <c r="H116" s="779"/>
      <c r="I116" s="126"/>
      <c r="J116" s="126"/>
      <c r="K116" s="126"/>
      <c r="L116" s="126"/>
      <c r="M116" s="126"/>
      <c r="N116" s="126"/>
      <c r="O116" s="126"/>
      <c r="P116" s="126"/>
      <c r="Q116" s="126"/>
      <c r="R116" s="126"/>
      <c r="S116" s="126"/>
      <c r="T116" s="126"/>
      <c r="U116" s="126"/>
      <c r="V116" s="126"/>
      <c r="W116" s="126"/>
      <c r="X116" s="126"/>
      <c r="Y116" s="126"/>
      <c r="Z116" s="126"/>
      <c r="AA116" s="126"/>
      <c r="AB116" s="126"/>
      <c r="AC116" s="126"/>
    </row>
    <row r="117" spans="2:51" ht="15">
      <c r="B117" s="780"/>
      <c r="C117" s="732" t="s">
        <v>369</v>
      </c>
      <c r="D117" s="179"/>
      <c r="E117" s="733">
        <f>ROUND(SUM(C112:AC112),-3)</f>
        <v>6915000</v>
      </c>
      <c r="F117" s="734">
        <f>E117/E115</f>
        <v>0.4211584140325233</v>
      </c>
      <c r="G117" s="772" t="s">
        <v>442</v>
      </c>
      <c r="H117" s="779"/>
      <c r="I117" s="419"/>
      <c r="J117" s="126"/>
      <c r="K117" s="126"/>
      <c r="L117" s="126"/>
      <c r="M117" s="126"/>
      <c r="N117" s="126"/>
      <c r="O117" s="126"/>
      <c r="P117" s="126"/>
      <c r="Q117" s="126"/>
      <c r="R117" s="126"/>
      <c r="S117" s="126"/>
      <c r="T117" s="126"/>
      <c r="U117" s="126"/>
      <c r="V117" s="126"/>
      <c r="W117" s="126"/>
      <c r="X117" s="126"/>
      <c r="Y117" s="126"/>
      <c r="Z117" s="126"/>
      <c r="AA117" s="126"/>
      <c r="AB117" s="126"/>
      <c r="AC117" s="126"/>
    </row>
    <row r="118" spans="2:51" ht="15">
      <c r="B118" s="780"/>
      <c r="C118" s="732" t="s">
        <v>370</v>
      </c>
      <c r="D118" s="179"/>
      <c r="E118" s="733">
        <f>ROUND(SUM(C113:AC113),-3)</f>
        <v>9504000</v>
      </c>
      <c r="F118" s="735">
        <f>E118/E115</f>
        <v>0.5788415859674767</v>
      </c>
      <c r="G118" s="772" t="s">
        <v>442</v>
      </c>
      <c r="H118" s="779"/>
      <c r="I118" s="419"/>
      <c r="J118" s="126"/>
      <c r="K118" s="126"/>
      <c r="L118" s="126"/>
      <c r="M118" s="126"/>
      <c r="N118" s="126"/>
      <c r="O118" s="126"/>
      <c r="P118" s="126"/>
      <c r="Q118" s="126"/>
      <c r="R118" s="126"/>
      <c r="S118" s="126"/>
      <c r="T118" s="126"/>
      <c r="U118" s="126"/>
      <c r="V118" s="126"/>
      <c r="W118" s="126"/>
      <c r="X118" s="126"/>
      <c r="Y118" s="126"/>
      <c r="Z118" s="126"/>
      <c r="AA118" s="126"/>
      <c r="AB118" s="126"/>
      <c r="AC118" s="126"/>
    </row>
    <row r="119" spans="2:51">
      <c r="B119" s="781"/>
      <c r="C119" s="179"/>
      <c r="D119" s="416"/>
      <c r="E119" s="416"/>
      <c r="F119" s="179"/>
      <c r="G119" s="179"/>
      <c r="H119" s="782"/>
      <c r="J119" s="126"/>
      <c r="K119" s="126"/>
      <c r="L119" s="126"/>
      <c r="M119" s="126"/>
      <c r="N119" s="126"/>
      <c r="O119" s="126"/>
      <c r="P119" s="126"/>
      <c r="Q119" s="126"/>
      <c r="R119" s="126"/>
      <c r="S119" s="126"/>
      <c r="T119" s="126"/>
      <c r="U119" s="126"/>
      <c r="V119" s="126"/>
      <c r="W119" s="126"/>
      <c r="X119" s="126"/>
      <c r="Y119" s="126"/>
      <c r="Z119" s="126"/>
      <c r="AA119" s="126"/>
      <c r="AB119" s="126"/>
      <c r="AC119" s="126"/>
    </row>
    <row r="120" spans="2:51">
      <c r="B120" s="783"/>
      <c r="C120" s="179"/>
      <c r="D120" s="179"/>
      <c r="E120" s="416"/>
      <c r="F120" s="179"/>
      <c r="G120" s="179"/>
      <c r="H120" s="782"/>
      <c r="J120" s="126"/>
      <c r="K120" s="126"/>
      <c r="L120" s="126"/>
      <c r="M120" s="126"/>
      <c r="N120" s="126"/>
      <c r="O120" s="126"/>
      <c r="P120" s="126"/>
      <c r="Q120" s="126"/>
      <c r="R120" s="126"/>
      <c r="S120" s="126"/>
      <c r="T120" s="126"/>
      <c r="U120" s="126"/>
      <c r="V120" s="126"/>
      <c r="W120" s="126"/>
      <c r="X120" s="126"/>
      <c r="Y120" s="126"/>
      <c r="Z120" s="126"/>
      <c r="AA120" s="126"/>
      <c r="AB120" s="126"/>
      <c r="AC120" s="126"/>
    </row>
    <row r="121" spans="2:51" ht="15.75">
      <c r="B121" s="784"/>
      <c r="C121" s="179"/>
      <c r="D121" s="179"/>
      <c r="E121" s="416"/>
      <c r="F121" s="179"/>
      <c r="G121" s="179"/>
      <c r="H121" s="779"/>
      <c r="I121" s="126"/>
      <c r="J121" s="126"/>
      <c r="K121" s="126"/>
      <c r="L121" s="126"/>
      <c r="M121" s="126"/>
      <c r="N121" s="126"/>
      <c r="O121" s="126"/>
      <c r="P121" s="126"/>
      <c r="Q121" s="126"/>
      <c r="R121" s="126"/>
      <c r="S121" s="126"/>
      <c r="T121" s="126"/>
      <c r="U121" s="126"/>
      <c r="V121" s="126"/>
      <c r="W121" s="126"/>
      <c r="X121" s="126"/>
      <c r="Y121" s="126"/>
      <c r="Z121" s="126"/>
      <c r="AA121" s="126"/>
      <c r="AB121" s="126"/>
      <c r="AC121" s="126"/>
    </row>
    <row r="122" spans="2:51">
      <c r="B122" s="785"/>
      <c r="C122" s="416"/>
      <c r="D122" s="420"/>
      <c r="E122" s="421"/>
      <c r="F122" s="179"/>
      <c r="G122" s="179"/>
      <c r="H122" s="782"/>
      <c r="J122" s="126"/>
      <c r="K122" s="126"/>
      <c r="L122" s="126"/>
      <c r="M122" s="126"/>
      <c r="N122" s="126"/>
      <c r="O122" s="126"/>
      <c r="P122" s="126"/>
      <c r="Q122" s="126"/>
      <c r="R122" s="126"/>
      <c r="S122" s="126"/>
      <c r="T122" s="126"/>
      <c r="U122" s="126"/>
      <c r="V122" s="126"/>
      <c r="W122" s="126"/>
      <c r="X122" s="126"/>
      <c r="Y122" s="126"/>
      <c r="Z122" s="126"/>
      <c r="AA122" s="126"/>
      <c r="AB122" s="126"/>
      <c r="AC122" s="126"/>
    </row>
    <row r="123" spans="2:51">
      <c r="B123" s="786"/>
      <c r="C123" s="422"/>
      <c r="D123" s="422"/>
      <c r="E123" s="422"/>
      <c r="F123" s="179"/>
      <c r="G123" s="179"/>
      <c r="H123" s="782"/>
      <c r="J123" s="125"/>
      <c r="K123" s="125"/>
      <c r="M123" s="125"/>
      <c r="N123" s="125"/>
      <c r="P123" s="125"/>
      <c r="Q123" s="125"/>
      <c r="S123" s="125"/>
    </row>
    <row r="124" spans="2:51">
      <c r="B124" s="786"/>
      <c r="C124" s="422"/>
      <c r="D124" s="422"/>
      <c r="E124" s="422"/>
      <c r="F124" s="179"/>
      <c r="G124" s="179"/>
      <c r="H124" s="782"/>
      <c r="J124" s="125"/>
      <c r="K124" s="125"/>
      <c r="M124" s="125"/>
      <c r="N124" s="125"/>
      <c r="P124" s="125"/>
      <c r="Q124" s="125"/>
      <c r="S124" s="125"/>
    </row>
    <row r="125" spans="2:51">
      <c r="B125" s="781"/>
      <c r="C125" s="422"/>
      <c r="D125" s="422"/>
      <c r="E125" s="422"/>
      <c r="F125" s="422"/>
      <c r="G125" s="422"/>
      <c r="H125" s="787"/>
      <c r="I125" s="127"/>
      <c r="J125" s="127"/>
      <c r="K125" s="127"/>
      <c r="L125" s="127"/>
      <c r="M125" s="127"/>
      <c r="N125" s="127"/>
      <c r="O125" s="127"/>
      <c r="P125" s="127"/>
      <c r="Q125" s="127"/>
      <c r="R125" s="127"/>
      <c r="S125" s="127"/>
      <c r="T125" s="127"/>
      <c r="U125" s="127"/>
      <c r="V125" s="127"/>
      <c r="W125" s="127"/>
      <c r="X125" s="127"/>
      <c r="Y125" s="127"/>
      <c r="Z125" s="127"/>
      <c r="AA125" s="127"/>
      <c r="AB125" s="127"/>
      <c r="AC125" s="423"/>
    </row>
    <row r="126" spans="2:51" s="371" customFormat="1">
      <c r="B126" s="760"/>
      <c r="C126" s="368"/>
      <c r="D126" s="368"/>
      <c r="E126" s="368"/>
      <c r="F126" s="368"/>
      <c r="G126" s="369"/>
      <c r="H126" s="758"/>
      <c r="AY126" s="372"/>
    </row>
    <row r="127" spans="2:51" s="371" customFormat="1">
      <c r="B127" s="760"/>
      <c r="C127" s="368"/>
      <c r="D127" s="368"/>
      <c r="E127" s="368"/>
      <c r="F127" s="368"/>
      <c r="G127" s="369"/>
      <c r="H127" s="758"/>
      <c r="AY127" s="372"/>
    </row>
    <row r="128" spans="2:51" s="371" customFormat="1">
      <c r="B128" s="760"/>
      <c r="C128" s="368"/>
      <c r="D128" s="368"/>
      <c r="E128" s="368"/>
      <c r="F128" s="416"/>
      <c r="G128" s="416"/>
      <c r="H128" s="779"/>
      <c r="I128" s="126"/>
      <c r="AY128" s="372"/>
    </row>
    <row r="129" spans="2:51" s="371" customFormat="1">
      <c r="B129" s="760"/>
      <c r="C129" s="368"/>
      <c r="D129" s="368"/>
      <c r="E129" s="368"/>
      <c r="F129" s="416"/>
      <c r="G129" s="773"/>
      <c r="H129" s="788"/>
      <c r="I129" s="126"/>
      <c r="AY129" s="372"/>
    </row>
    <row r="130" spans="2:51" s="371" customFormat="1">
      <c r="B130" s="760"/>
      <c r="C130" s="368"/>
      <c r="D130" s="368"/>
      <c r="E130" s="368"/>
      <c r="F130" s="416"/>
      <c r="G130" s="773"/>
      <c r="H130" s="788"/>
      <c r="I130" s="424"/>
      <c r="AY130" s="372"/>
    </row>
    <row r="131" spans="2:51" s="371" customFormat="1">
      <c r="B131" s="760"/>
      <c r="C131" s="368"/>
      <c r="D131" s="368"/>
      <c r="E131" s="368"/>
      <c r="F131" s="368"/>
      <c r="G131" s="369"/>
      <c r="H131" s="758"/>
      <c r="AY131" s="372"/>
    </row>
    <row r="132" spans="2:51" s="371" customFormat="1">
      <c r="B132" s="760"/>
      <c r="C132" s="368"/>
      <c r="D132" s="368"/>
      <c r="E132" s="368"/>
      <c r="F132" s="368"/>
      <c r="G132" s="369"/>
      <c r="H132" s="758"/>
      <c r="AY132" s="372"/>
    </row>
    <row r="133" spans="2:51" s="371" customFormat="1">
      <c r="B133" s="760"/>
      <c r="C133" s="368"/>
      <c r="D133" s="368"/>
      <c r="E133" s="368"/>
      <c r="F133" s="368"/>
      <c r="G133" s="369"/>
      <c r="H133" s="758"/>
      <c r="AY133" s="372"/>
    </row>
    <row r="134" spans="2:51" s="371" customFormat="1">
      <c r="B134" s="760"/>
      <c r="C134" s="368"/>
      <c r="D134" s="368"/>
      <c r="E134" s="368"/>
      <c r="F134" s="368"/>
      <c r="G134" s="369"/>
      <c r="H134" s="758"/>
      <c r="AY134" s="372"/>
    </row>
    <row r="135" spans="2:51" s="371" customFormat="1">
      <c r="B135" s="760"/>
      <c r="C135" s="368"/>
      <c r="D135" s="368"/>
      <c r="E135" s="368"/>
      <c r="F135" s="368"/>
      <c r="G135" s="369"/>
      <c r="H135" s="758"/>
      <c r="AY135" s="372"/>
    </row>
    <row r="136" spans="2:51" s="371" customFormat="1">
      <c r="B136" s="760"/>
      <c r="C136" s="368"/>
      <c r="D136" s="368"/>
      <c r="E136" s="368"/>
      <c r="F136" s="368"/>
      <c r="G136" s="369"/>
      <c r="H136" s="758"/>
      <c r="AY136" s="372"/>
    </row>
    <row r="137" spans="2:51" s="371" customFormat="1">
      <c r="B137" s="760"/>
      <c r="C137" s="368"/>
      <c r="D137" s="368"/>
      <c r="E137" s="368"/>
      <c r="F137" s="368"/>
      <c r="G137" s="369"/>
      <c r="H137" s="758"/>
      <c r="AY137" s="372"/>
    </row>
    <row r="138" spans="2:51" s="371" customFormat="1">
      <c r="B138" s="760"/>
      <c r="C138" s="368"/>
      <c r="D138" s="368"/>
      <c r="E138" s="368"/>
      <c r="F138" s="368"/>
      <c r="G138" s="369"/>
      <c r="H138" s="758"/>
      <c r="AY138" s="372"/>
    </row>
    <row r="139" spans="2:51" s="371" customFormat="1">
      <c r="B139" s="760"/>
      <c r="C139" s="368"/>
      <c r="D139" s="368"/>
      <c r="E139" s="368"/>
      <c r="F139" s="368"/>
      <c r="G139" s="369"/>
      <c r="H139" s="758"/>
      <c r="AY139" s="372"/>
    </row>
    <row r="140" spans="2:51" s="371" customFormat="1">
      <c r="B140" s="760"/>
      <c r="C140" s="368"/>
      <c r="D140" s="368"/>
      <c r="E140" s="368"/>
      <c r="F140" s="368"/>
      <c r="G140" s="369"/>
      <c r="H140" s="758"/>
      <c r="AY140" s="372"/>
    </row>
    <row r="141" spans="2:51" s="371" customFormat="1">
      <c r="B141" s="760"/>
      <c r="C141" s="368"/>
      <c r="D141" s="368"/>
      <c r="E141" s="368"/>
      <c r="F141" s="368"/>
      <c r="G141" s="369"/>
      <c r="H141" s="758"/>
      <c r="AY141" s="372"/>
    </row>
    <row r="142" spans="2:51" s="371" customFormat="1">
      <c r="B142" s="760"/>
      <c r="C142" s="368"/>
      <c r="D142" s="368"/>
      <c r="E142" s="368"/>
      <c r="F142" s="368"/>
      <c r="G142" s="369"/>
      <c r="H142" s="758"/>
      <c r="AY142" s="372"/>
    </row>
    <row r="143" spans="2:51" s="371" customFormat="1">
      <c r="B143" s="760"/>
      <c r="C143" s="368"/>
      <c r="D143" s="368"/>
      <c r="E143" s="368"/>
      <c r="F143" s="368"/>
      <c r="G143" s="369"/>
      <c r="H143" s="758"/>
      <c r="AY143" s="372"/>
    </row>
    <row r="144" spans="2:51" s="371" customFormat="1">
      <c r="B144" s="760"/>
      <c r="C144" s="368"/>
      <c r="D144" s="368"/>
      <c r="E144" s="368"/>
      <c r="F144" s="368"/>
      <c r="G144" s="369"/>
      <c r="H144" s="758"/>
      <c r="AY144" s="372"/>
    </row>
    <row r="145" spans="2:51" s="371" customFormat="1">
      <c r="B145" s="760"/>
      <c r="C145" s="368"/>
      <c r="D145" s="368"/>
      <c r="E145" s="368"/>
      <c r="F145" s="368"/>
      <c r="G145" s="369"/>
      <c r="H145" s="758"/>
      <c r="AY145" s="372"/>
    </row>
    <row r="146" spans="2:51" s="371" customFormat="1">
      <c r="B146" s="760"/>
      <c r="C146" s="368"/>
      <c r="D146" s="368"/>
      <c r="E146" s="368"/>
      <c r="F146" s="368"/>
      <c r="G146" s="369"/>
      <c r="H146" s="758"/>
      <c r="AY146" s="372"/>
    </row>
    <row r="147" spans="2:51" s="371" customFormat="1">
      <c r="B147" s="760"/>
      <c r="C147" s="368"/>
      <c r="D147" s="368"/>
      <c r="E147" s="368"/>
      <c r="F147" s="368"/>
      <c r="G147" s="369"/>
      <c r="H147" s="758"/>
      <c r="AY147" s="372"/>
    </row>
    <row r="148" spans="2:51" s="371" customFormat="1">
      <c r="B148" s="760"/>
      <c r="C148" s="368"/>
      <c r="D148" s="368"/>
      <c r="E148" s="368"/>
      <c r="F148" s="368"/>
      <c r="G148" s="369"/>
      <c r="H148" s="758"/>
      <c r="AY148" s="372"/>
    </row>
    <row r="149" spans="2:51" s="371" customFormat="1">
      <c r="B149" s="760"/>
      <c r="C149" s="368"/>
      <c r="D149" s="368"/>
      <c r="E149" s="368"/>
      <c r="F149" s="368"/>
      <c r="G149" s="369"/>
      <c r="H149" s="758"/>
      <c r="AY149" s="372"/>
    </row>
    <row r="150" spans="2:51" s="371" customFormat="1">
      <c r="B150" s="760"/>
      <c r="C150" s="368"/>
      <c r="D150" s="368"/>
      <c r="E150" s="368"/>
      <c r="F150" s="368"/>
      <c r="G150" s="369"/>
      <c r="H150" s="758"/>
      <c r="AY150" s="372"/>
    </row>
    <row r="151" spans="2:51" s="371" customFormat="1">
      <c r="B151" s="760"/>
      <c r="C151" s="368"/>
      <c r="D151" s="368"/>
      <c r="E151" s="368"/>
      <c r="F151" s="368"/>
      <c r="G151" s="369"/>
      <c r="H151" s="758"/>
      <c r="AY151" s="372"/>
    </row>
    <row r="152" spans="2:51" s="371" customFormat="1">
      <c r="B152" s="760"/>
      <c r="C152" s="368"/>
      <c r="D152" s="368"/>
      <c r="E152" s="368"/>
      <c r="F152" s="368"/>
      <c r="G152" s="369"/>
      <c r="H152" s="758"/>
      <c r="AY152" s="372"/>
    </row>
    <row r="153" spans="2:51" s="371" customFormat="1">
      <c r="B153" s="760"/>
      <c r="C153" s="368"/>
      <c r="D153" s="368"/>
      <c r="E153" s="368"/>
      <c r="F153" s="368"/>
      <c r="G153" s="369"/>
      <c r="H153" s="758"/>
      <c r="AY153" s="372"/>
    </row>
    <row r="154" spans="2:51" s="371" customFormat="1">
      <c r="B154" s="760"/>
      <c r="C154" s="368"/>
      <c r="D154" s="368"/>
      <c r="E154" s="368"/>
      <c r="F154" s="368"/>
      <c r="G154" s="369"/>
      <c r="H154" s="758"/>
      <c r="AY154" s="372"/>
    </row>
    <row r="155" spans="2:51" s="371" customFormat="1">
      <c r="B155" s="760"/>
      <c r="C155" s="368"/>
      <c r="D155" s="368"/>
      <c r="E155" s="368"/>
      <c r="F155" s="368"/>
      <c r="G155" s="369"/>
      <c r="H155" s="758"/>
      <c r="AY155" s="372"/>
    </row>
    <row r="156" spans="2:51" s="371" customFormat="1">
      <c r="B156" s="760"/>
      <c r="C156" s="368"/>
      <c r="D156" s="368"/>
      <c r="E156" s="368"/>
      <c r="F156" s="368"/>
      <c r="G156" s="369"/>
      <c r="H156" s="758"/>
      <c r="AY156" s="372"/>
    </row>
    <row r="157" spans="2:51" s="371" customFormat="1">
      <c r="B157" s="760"/>
      <c r="C157" s="368"/>
      <c r="D157" s="368"/>
      <c r="E157" s="368"/>
      <c r="F157" s="368"/>
      <c r="G157" s="369"/>
      <c r="H157" s="758"/>
      <c r="AY157" s="372"/>
    </row>
    <row r="158" spans="2:51" s="371" customFormat="1">
      <c r="B158" s="760"/>
      <c r="C158" s="368"/>
      <c r="D158" s="368"/>
      <c r="E158" s="368"/>
      <c r="F158" s="368"/>
      <c r="G158" s="369"/>
      <c r="H158" s="758"/>
      <c r="AY158" s="372"/>
    </row>
    <row r="159" spans="2:51" s="371" customFormat="1">
      <c r="B159" s="760"/>
      <c r="C159" s="368"/>
      <c r="D159" s="368"/>
      <c r="E159" s="368"/>
      <c r="F159" s="368"/>
      <c r="G159" s="369"/>
      <c r="H159" s="758"/>
      <c r="AY159" s="372"/>
    </row>
    <row r="160" spans="2:51" s="371" customFormat="1">
      <c r="B160" s="760"/>
      <c r="C160" s="368"/>
      <c r="D160" s="368"/>
      <c r="E160" s="368"/>
      <c r="F160" s="368"/>
      <c r="G160" s="369"/>
      <c r="H160" s="758"/>
      <c r="AY160" s="372"/>
    </row>
    <row r="161" spans="2:51" s="371" customFormat="1">
      <c r="B161" s="760"/>
      <c r="C161" s="368"/>
      <c r="D161" s="368"/>
      <c r="E161" s="368"/>
      <c r="F161" s="368"/>
      <c r="G161" s="369"/>
      <c r="H161" s="758"/>
      <c r="AY161" s="372"/>
    </row>
    <row r="162" spans="2:51" s="371" customFormat="1">
      <c r="B162" s="760"/>
      <c r="C162" s="368"/>
      <c r="D162" s="368"/>
      <c r="E162" s="368"/>
      <c r="F162" s="368"/>
      <c r="G162" s="369"/>
      <c r="H162" s="758"/>
      <c r="AY162" s="372"/>
    </row>
    <row r="163" spans="2:51" s="371" customFormat="1">
      <c r="B163" s="760"/>
      <c r="C163" s="368"/>
      <c r="D163" s="368"/>
      <c r="E163" s="368"/>
      <c r="F163" s="368"/>
      <c r="G163" s="369"/>
      <c r="H163" s="758"/>
      <c r="AY163" s="372"/>
    </row>
    <row r="164" spans="2:51" s="371" customFormat="1">
      <c r="B164" s="760"/>
      <c r="C164" s="368"/>
      <c r="D164" s="368"/>
      <c r="E164" s="368"/>
      <c r="F164" s="368"/>
      <c r="G164" s="369"/>
      <c r="H164" s="758"/>
      <c r="AY164" s="372"/>
    </row>
    <row r="165" spans="2:51" s="371" customFormat="1">
      <c r="B165" s="760"/>
      <c r="C165" s="368"/>
      <c r="D165" s="368"/>
      <c r="E165" s="368"/>
      <c r="F165" s="368"/>
      <c r="G165" s="369"/>
      <c r="H165" s="758"/>
      <c r="AY165" s="372"/>
    </row>
    <row r="166" spans="2:51" s="371" customFormat="1">
      <c r="B166" s="760"/>
      <c r="C166" s="368"/>
      <c r="D166" s="368"/>
      <c r="E166" s="368"/>
      <c r="F166" s="368"/>
      <c r="G166" s="369"/>
      <c r="H166" s="758"/>
      <c r="AY166" s="372"/>
    </row>
    <row r="167" spans="2:51" s="371" customFormat="1">
      <c r="B167" s="760"/>
      <c r="C167" s="368"/>
      <c r="D167" s="368"/>
      <c r="E167" s="368"/>
      <c r="F167" s="368"/>
      <c r="G167" s="369"/>
      <c r="H167" s="758"/>
      <c r="AY167" s="372"/>
    </row>
    <row r="168" spans="2:51" s="371" customFormat="1">
      <c r="B168" s="760"/>
      <c r="C168" s="368"/>
      <c r="D168" s="368"/>
      <c r="E168" s="368"/>
      <c r="F168" s="368"/>
      <c r="G168" s="369"/>
      <c r="H168" s="758"/>
      <c r="AY168" s="372"/>
    </row>
    <row r="169" spans="2:51" s="371" customFormat="1">
      <c r="B169" s="760"/>
      <c r="C169" s="368"/>
      <c r="D169" s="368"/>
      <c r="E169" s="368"/>
      <c r="F169" s="368"/>
      <c r="G169" s="369"/>
      <c r="H169" s="758"/>
      <c r="AY169" s="372"/>
    </row>
    <row r="170" spans="2:51" s="371" customFormat="1">
      <c r="B170" s="760"/>
      <c r="C170" s="368"/>
      <c r="D170" s="368"/>
      <c r="E170" s="368"/>
      <c r="F170" s="368"/>
      <c r="G170" s="369"/>
      <c r="H170" s="758"/>
      <c r="AY170" s="372"/>
    </row>
    <row r="171" spans="2:51" ht="13.5" thickBot="1">
      <c r="B171" s="789"/>
      <c r="C171" s="790"/>
      <c r="D171" s="790"/>
      <c r="E171" s="790"/>
      <c r="F171" s="790"/>
      <c r="G171" s="791"/>
      <c r="H171" s="792"/>
      <c r="AY171" s="376"/>
    </row>
    <row r="172" spans="2:51">
      <c r="AY172" s="376"/>
    </row>
    <row r="173" spans="2:51" ht="13.5">
      <c r="B173" s="1037"/>
      <c r="C173" s="1037"/>
      <c r="D173" s="1037"/>
      <c r="E173" s="1037"/>
      <c r="F173" s="1037"/>
      <c r="G173" s="1037"/>
      <c r="H173" s="425"/>
      <c r="I173" s="425"/>
      <c r="J173" s="425"/>
      <c r="K173" s="425"/>
      <c r="L173" s="425"/>
      <c r="M173" s="425"/>
      <c r="N173" s="425"/>
      <c r="O173" s="425"/>
      <c r="P173" s="425"/>
      <c r="AY173" s="376"/>
    </row>
    <row r="174" spans="2:51">
      <c r="AY174" s="376"/>
    </row>
    <row r="175" spans="2:51">
      <c r="AY175" s="376"/>
    </row>
    <row r="176" spans="2:51">
      <c r="AY176" s="376"/>
    </row>
    <row r="177" spans="51:51">
      <c r="AY177" s="376"/>
    </row>
    <row r="178" spans="51:51">
      <c r="AY178" s="376"/>
    </row>
    <row r="179" spans="51:51">
      <c r="AY179" s="376"/>
    </row>
    <row r="180" spans="51:51">
      <c r="AY180" s="376"/>
    </row>
    <row r="181" spans="51:51">
      <c r="AY181" s="376"/>
    </row>
    <row r="182" spans="51:51">
      <c r="AY182" s="376"/>
    </row>
    <row r="183" spans="51:51">
      <c r="AY183" s="376"/>
    </row>
    <row r="184" spans="51:51">
      <c r="AY184" s="376"/>
    </row>
    <row r="185" spans="51:51">
      <c r="AY185" s="376"/>
    </row>
    <row r="186" spans="51:51">
      <c r="AY186" s="376"/>
    </row>
    <row r="187" spans="51:51">
      <c r="AY187" s="376"/>
    </row>
    <row r="188" spans="51:51">
      <c r="AY188" s="376"/>
    </row>
    <row r="189" spans="51:51">
      <c r="AY189" s="376"/>
    </row>
    <row r="190" spans="51:51">
      <c r="AY190" s="376"/>
    </row>
    <row r="191" spans="51:51">
      <c r="AY191" s="376"/>
    </row>
    <row r="192" spans="51:51">
      <c r="AY192" s="376"/>
    </row>
    <row r="193" spans="51:51">
      <c r="AY193" s="376"/>
    </row>
    <row r="194" spans="51:51">
      <c r="AY194" s="376"/>
    </row>
    <row r="195" spans="51:51">
      <c r="AY195" s="376"/>
    </row>
    <row r="196" spans="51:51">
      <c r="AY196" s="376"/>
    </row>
    <row r="197" spans="51:51">
      <c r="AY197" s="376"/>
    </row>
    <row r="198" spans="51:51">
      <c r="AY198" s="376"/>
    </row>
    <row r="199" spans="51:51">
      <c r="AY199" s="376"/>
    </row>
    <row r="200" spans="51:51">
      <c r="AY200" s="376"/>
    </row>
    <row r="201" spans="51:51">
      <c r="AY201" s="376"/>
    </row>
    <row r="202" spans="51:51">
      <c r="AY202" s="376"/>
    </row>
    <row r="203" spans="51:51">
      <c r="AY203" s="376"/>
    </row>
    <row r="204" spans="51:51">
      <c r="AY204" s="376"/>
    </row>
    <row r="205" spans="51:51">
      <c r="AY205" s="376"/>
    </row>
    <row r="206" spans="51:51">
      <c r="AY206" s="376"/>
    </row>
    <row r="207" spans="51:51">
      <c r="AY207" s="376"/>
    </row>
    <row r="208" spans="51:51">
      <c r="AY208" s="376"/>
    </row>
    <row r="209" spans="51:51">
      <c r="AY209" s="376"/>
    </row>
    <row r="210" spans="51:51">
      <c r="AY210" s="376"/>
    </row>
    <row r="211" spans="51:51">
      <c r="AY211" s="376"/>
    </row>
    <row r="212" spans="51:51">
      <c r="AY212" s="376"/>
    </row>
    <row r="213" spans="51:51">
      <c r="AY213" s="376"/>
    </row>
    <row r="214" spans="51:51">
      <c r="AY214" s="376"/>
    </row>
    <row r="215" spans="51:51">
      <c r="AY215" s="376"/>
    </row>
    <row r="216" spans="51:51">
      <c r="AY216" s="376"/>
    </row>
    <row r="217" spans="51:51">
      <c r="AY217" s="376"/>
    </row>
    <row r="218" spans="51:51">
      <c r="AY218" s="376"/>
    </row>
    <row r="219" spans="51:51">
      <c r="AY219" s="376"/>
    </row>
    <row r="220" spans="51:51">
      <c r="AY220" s="376"/>
    </row>
    <row r="221" spans="51:51">
      <c r="AY221" s="376"/>
    </row>
    <row r="222" spans="51:51">
      <c r="AY222" s="376"/>
    </row>
    <row r="223" spans="51:51">
      <c r="AY223" s="376"/>
    </row>
    <row r="224" spans="51:51">
      <c r="AY224" s="376"/>
    </row>
    <row r="225" spans="51:51">
      <c r="AY225" s="376"/>
    </row>
    <row r="226" spans="51:51">
      <c r="AY226" s="376"/>
    </row>
    <row r="227" spans="51:51">
      <c r="AY227" s="376"/>
    </row>
    <row r="228" spans="51:51">
      <c r="AY228" s="376"/>
    </row>
    <row r="229" spans="51:51">
      <c r="AY229" s="376"/>
    </row>
    <row r="230" spans="51:51">
      <c r="AY230" s="376"/>
    </row>
    <row r="231" spans="51:51">
      <c r="AY231" s="376"/>
    </row>
    <row r="232" spans="51:51">
      <c r="AY232" s="376"/>
    </row>
    <row r="233" spans="51:51">
      <c r="AY233" s="376"/>
    </row>
    <row r="234" spans="51:51">
      <c r="AY234" s="376"/>
    </row>
    <row r="235" spans="51:51">
      <c r="AY235" s="376"/>
    </row>
    <row r="236" spans="51:51">
      <c r="AY236" s="376"/>
    </row>
    <row r="237" spans="51:51">
      <c r="AY237" s="376"/>
    </row>
    <row r="238" spans="51:51">
      <c r="AY238" s="376"/>
    </row>
    <row r="239" spans="51:51">
      <c r="AY239" s="376"/>
    </row>
    <row r="240" spans="51:51">
      <c r="AY240" s="376"/>
    </row>
    <row r="241" spans="51:51">
      <c r="AY241" s="376"/>
    </row>
    <row r="242" spans="51:51">
      <c r="AY242" s="376"/>
    </row>
    <row r="243" spans="51:51">
      <c r="AY243" s="376"/>
    </row>
    <row r="244" spans="51:51">
      <c r="AY244" s="376"/>
    </row>
    <row r="245" spans="51:51">
      <c r="AY245" s="376"/>
    </row>
    <row r="246" spans="51:51">
      <c r="AY246" s="376"/>
    </row>
    <row r="247" spans="51:51">
      <c r="AY247" s="376"/>
    </row>
    <row r="248" spans="51:51">
      <c r="AY248" s="376"/>
    </row>
    <row r="249" spans="51:51">
      <c r="AY249" s="376"/>
    </row>
    <row r="250" spans="51:51">
      <c r="AY250" s="376"/>
    </row>
    <row r="251" spans="51:51">
      <c r="AY251" s="376"/>
    </row>
    <row r="252" spans="51:51">
      <c r="AY252" s="376"/>
    </row>
    <row r="253" spans="51:51">
      <c r="AY253" s="376"/>
    </row>
    <row r="254" spans="51:51">
      <c r="AY254" s="376"/>
    </row>
    <row r="255" spans="51:51">
      <c r="AY255" s="376"/>
    </row>
    <row r="256" spans="51:51">
      <c r="AY256" s="376"/>
    </row>
    <row r="257" spans="51:51">
      <c r="AY257" s="376"/>
    </row>
    <row r="258" spans="51:51">
      <c r="AY258" s="376"/>
    </row>
    <row r="259" spans="51:51">
      <c r="AY259" s="376"/>
    </row>
    <row r="260" spans="51:51">
      <c r="AY260" s="376"/>
    </row>
    <row r="261" spans="51:51">
      <c r="AY261" s="376"/>
    </row>
    <row r="262" spans="51:51">
      <c r="AY262" s="376"/>
    </row>
    <row r="263" spans="51:51">
      <c r="AY263" s="376"/>
    </row>
    <row r="264" spans="51:51">
      <c r="AY264" s="376"/>
    </row>
    <row r="265" spans="51:51">
      <c r="AY265" s="376"/>
    </row>
    <row r="266" spans="51:51">
      <c r="AY266" s="376"/>
    </row>
    <row r="267" spans="51:51">
      <c r="AY267" s="376"/>
    </row>
    <row r="268" spans="51:51">
      <c r="AY268" s="376"/>
    </row>
    <row r="269" spans="51:51">
      <c r="AY269" s="376"/>
    </row>
    <row r="270" spans="51:51">
      <c r="AY270" s="376"/>
    </row>
    <row r="271" spans="51:51">
      <c r="AY271" s="376"/>
    </row>
    <row r="272" spans="51:51">
      <c r="AY272" s="376"/>
    </row>
    <row r="273" spans="51:51">
      <c r="AY273" s="376"/>
    </row>
    <row r="274" spans="51:51">
      <c r="AY274" s="376"/>
    </row>
    <row r="275" spans="51:51">
      <c r="AY275" s="376"/>
    </row>
    <row r="276" spans="51:51">
      <c r="AY276" s="376"/>
    </row>
    <row r="277" spans="51:51">
      <c r="AY277" s="376"/>
    </row>
    <row r="278" spans="51:51">
      <c r="AY278" s="376"/>
    </row>
    <row r="279" spans="51:51">
      <c r="AY279" s="376"/>
    </row>
    <row r="280" spans="51:51">
      <c r="AY280" s="376"/>
    </row>
    <row r="281" spans="51:51">
      <c r="AY281" s="376"/>
    </row>
    <row r="282" spans="51:51">
      <c r="AY282" s="376"/>
    </row>
    <row r="283" spans="51:51">
      <c r="AY283" s="376"/>
    </row>
    <row r="284" spans="51:51">
      <c r="AY284" s="376"/>
    </row>
    <row r="285" spans="51:51">
      <c r="AY285" s="376"/>
    </row>
    <row r="286" spans="51:51">
      <c r="AY286" s="376"/>
    </row>
    <row r="287" spans="51:51">
      <c r="AY287" s="376"/>
    </row>
    <row r="288" spans="51:51">
      <c r="AY288" s="376"/>
    </row>
    <row r="289" spans="51:51">
      <c r="AY289" s="376"/>
    </row>
    <row r="290" spans="51:51">
      <c r="AY290" s="376"/>
    </row>
    <row r="291" spans="51:51">
      <c r="AY291" s="376"/>
    </row>
    <row r="292" spans="51:51">
      <c r="AY292" s="376"/>
    </row>
    <row r="293" spans="51:51">
      <c r="AY293" s="376"/>
    </row>
    <row r="294" spans="51:51">
      <c r="AY294" s="376"/>
    </row>
    <row r="295" spans="51:51">
      <c r="AY295" s="376"/>
    </row>
    <row r="296" spans="51:51">
      <c r="AY296" s="376"/>
    </row>
    <row r="297" spans="51:51">
      <c r="AY297" s="376"/>
    </row>
    <row r="298" spans="51:51">
      <c r="AY298" s="376"/>
    </row>
    <row r="299" spans="51:51">
      <c r="AY299" s="376"/>
    </row>
    <row r="300" spans="51:51">
      <c r="AY300" s="376"/>
    </row>
    <row r="301" spans="51:51">
      <c r="AY301" s="376"/>
    </row>
    <row r="302" spans="51:51">
      <c r="AY302" s="376"/>
    </row>
    <row r="303" spans="51:51">
      <c r="AY303" s="376"/>
    </row>
    <row r="304" spans="51:51">
      <c r="AY304" s="376"/>
    </row>
    <row r="305" spans="51:51">
      <c r="AY305" s="376"/>
    </row>
    <row r="306" spans="51:51">
      <c r="AY306" s="376"/>
    </row>
    <row r="307" spans="51:51">
      <c r="AY307" s="376"/>
    </row>
    <row r="308" spans="51:51">
      <c r="AY308" s="376"/>
    </row>
    <row r="309" spans="51:51">
      <c r="AY309" s="376"/>
    </row>
    <row r="310" spans="51:51">
      <c r="AY310" s="376"/>
    </row>
    <row r="311" spans="51:51">
      <c r="AY311" s="376"/>
    </row>
    <row r="312" spans="51:51">
      <c r="AY312" s="376"/>
    </row>
    <row r="313" spans="51:51">
      <c r="AY313" s="376"/>
    </row>
    <row r="314" spans="51:51">
      <c r="AY314" s="376"/>
    </row>
    <row r="315" spans="51:51">
      <c r="AY315" s="376"/>
    </row>
    <row r="316" spans="51:51">
      <c r="AY316" s="376"/>
    </row>
    <row r="317" spans="51:51">
      <c r="AY317" s="376"/>
    </row>
    <row r="318" spans="51:51">
      <c r="AY318" s="376"/>
    </row>
    <row r="319" spans="51:51">
      <c r="AY319" s="376"/>
    </row>
    <row r="320" spans="51:51">
      <c r="AY320" s="376"/>
    </row>
    <row r="321" spans="51:51">
      <c r="AY321" s="376"/>
    </row>
    <row r="322" spans="51:51">
      <c r="AY322" s="376"/>
    </row>
    <row r="323" spans="51:51">
      <c r="AY323" s="376"/>
    </row>
    <row r="324" spans="51:51">
      <c r="AY324" s="376"/>
    </row>
    <row r="325" spans="51:51">
      <c r="AY325" s="376"/>
    </row>
    <row r="326" spans="51:51">
      <c r="AY326" s="376"/>
    </row>
    <row r="327" spans="51:51">
      <c r="AY327" s="376"/>
    </row>
    <row r="328" spans="51:51">
      <c r="AY328" s="376"/>
    </row>
    <row r="329" spans="51:51">
      <c r="AY329" s="376"/>
    </row>
    <row r="330" spans="51:51">
      <c r="AY330" s="376"/>
    </row>
    <row r="331" spans="51:51">
      <c r="AY331" s="376"/>
    </row>
    <row r="332" spans="51:51">
      <c r="AY332" s="376"/>
    </row>
    <row r="333" spans="51:51">
      <c r="AY333" s="376"/>
    </row>
    <row r="334" spans="51:51">
      <c r="AY334" s="376"/>
    </row>
    <row r="335" spans="51:51">
      <c r="AY335" s="376"/>
    </row>
    <row r="336" spans="51:51">
      <c r="AY336" s="376"/>
    </row>
    <row r="337" spans="51:51">
      <c r="AY337" s="376"/>
    </row>
    <row r="338" spans="51:51">
      <c r="AY338" s="376"/>
    </row>
    <row r="339" spans="51:51">
      <c r="AY339" s="376"/>
    </row>
    <row r="340" spans="51:51">
      <c r="AY340" s="376"/>
    </row>
    <row r="341" spans="51:51">
      <c r="AY341" s="376"/>
    </row>
    <row r="342" spans="51:51">
      <c r="AY342" s="376"/>
    </row>
    <row r="343" spans="51:51">
      <c r="AY343" s="376"/>
    </row>
    <row r="344" spans="51:51">
      <c r="AY344" s="376"/>
    </row>
    <row r="345" spans="51:51">
      <c r="AY345" s="376"/>
    </row>
    <row r="346" spans="51:51">
      <c r="AY346" s="376"/>
    </row>
    <row r="347" spans="51:51">
      <c r="AY347" s="376"/>
    </row>
    <row r="348" spans="51:51">
      <c r="AY348" s="376"/>
    </row>
    <row r="349" spans="51:51">
      <c r="AY349" s="376"/>
    </row>
    <row r="350" spans="51:51">
      <c r="AY350" s="376"/>
    </row>
    <row r="351" spans="51:51">
      <c r="AY351" s="376"/>
    </row>
    <row r="352" spans="51:51">
      <c r="AY352" s="376"/>
    </row>
    <row r="353" spans="51:51">
      <c r="AY353" s="376"/>
    </row>
    <row r="354" spans="51:51">
      <c r="AY354" s="376"/>
    </row>
    <row r="355" spans="51:51">
      <c r="AY355" s="376"/>
    </row>
    <row r="356" spans="51:51">
      <c r="AY356" s="376"/>
    </row>
    <row r="357" spans="51:51">
      <c r="AY357" s="376"/>
    </row>
    <row r="358" spans="51:51">
      <c r="AY358" s="376"/>
    </row>
    <row r="359" spans="51:51">
      <c r="AY359" s="376"/>
    </row>
    <row r="360" spans="51:51">
      <c r="AY360" s="376"/>
    </row>
    <row r="361" spans="51:51">
      <c r="AY361" s="376"/>
    </row>
    <row r="362" spans="51:51">
      <c r="AY362" s="376"/>
    </row>
    <row r="363" spans="51:51">
      <c r="AY363" s="376"/>
    </row>
    <row r="364" spans="51:51">
      <c r="AY364" s="376"/>
    </row>
    <row r="365" spans="51:51">
      <c r="AY365" s="376"/>
    </row>
    <row r="366" spans="51:51">
      <c r="AY366" s="376"/>
    </row>
    <row r="367" spans="51:51">
      <c r="AY367" s="376"/>
    </row>
    <row r="368" spans="51:51">
      <c r="AY368" s="376"/>
    </row>
    <row r="369" spans="51:51">
      <c r="AY369" s="376"/>
    </row>
    <row r="370" spans="51:51">
      <c r="AY370" s="376"/>
    </row>
    <row r="371" spans="51:51">
      <c r="AY371" s="376"/>
    </row>
    <row r="372" spans="51:51">
      <c r="AY372" s="376"/>
    </row>
    <row r="373" spans="51:51">
      <c r="AY373" s="376"/>
    </row>
    <row r="374" spans="51:51">
      <c r="AY374" s="376"/>
    </row>
    <row r="375" spans="51:51">
      <c r="AY375" s="376"/>
    </row>
    <row r="376" spans="51:51">
      <c r="AY376" s="376"/>
    </row>
    <row r="377" spans="51:51">
      <c r="AY377" s="376"/>
    </row>
    <row r="378" spans="51:51">
      <c r="AY378" s="376"/>
    </row>
    <row r="379" spans="51:51">
      <c r="AY379" s="376"/>
    </row>
    <row r="380" spans="51:51">
      <c r="AY380" s="376"/>
    </row>
    <row r="381" spans="51:51">
      <c r="AY381" s="376"/>
    </row>
    <row r="382" spans="51:51">
      <c r="AY382" s="376"/>
    </row>
    <row r="383" spans="51:51">
      <c r="AY383" s="376"/>
    </row>
    <row r="384" spans="51:51">
      <c r="AY384" s="376"/>
    </row>
    <row r="385" spans="51:51">
      <c r="AY385" s="376"/>
    </row>
    <row r="386" spans="51:51">
      <c r="AY386" s="376"/>
    </row>
    <row r="387" spans="51:51">
      <c r="AY387" s="376"/>
    </row>
    <row r="388" spans="51:51">
      <c r="AY388" s="376"/>
    </row>
    <row r="389" spans="51:51">
      <c r="AY389" s="376"/>
    </row>
    <row r="390" spans="51:51">
      <c r="AY390" s="376"/>
    </row>
    <row r="391" spans="51:51">
      <c r="AY391" s="376"/>
    </row>
    <row r="392" spans="51:51">
      <c r="AY392" s="376"/>
    </row>
    <row r="393" spans="51:51">
      <c r="AY393" s="376"/>
    </row>
    <row r="394" spans="51:51">
      <c r="AY394" s="376"/>
    </row>
    <row r="395" spans="51:51">
      <c r="AY395" s="376"/>
    </row>
    <row r="396" spans="51:51">
      <c r="AY396" s="376"/>
    </row>
    <row r="397" spans="51:51">
      <c r="AY397" s="376"/>
    </row>
    <row r="398" spans="51:51">
      <c r="AY398" s="376"/>
    </row>
    <row r="399" spans="51:51">
      <c r="AY399" s="376"/>
    </row>
    <row r="400" spans="51:51">
      <c r="AY400" s="376"/>
    </row>
    <row r="401" spans="51:51">
      <c r="AY401" s="376"/>
    </row>
    <row r="402" spans="51:51">
      <c r="AY402" s="376"/>
    </row>
    <row r="403" spans="51:51">
      <c r="AY403" s="376"/>
    </row>
    <row r="404" spans="51:51">
      <c r="AY404" s="376"/>
    </row>
    <row r="405" spans="51:51">
      <c r="AY405" s="376"/>
    </row>
    <row r="406" spans="51:51">
      <c r="AY406" s="376"/>
    </row>
    <row r="407" spans="51:51">
      <c r="AY407" s="376"/>
    </row>
    <row r="408" spans="51:51">
      <c r="AY408" s="376"/>
    </row>
    <row r="409" spans="51:51">
      <c r="AY409" s="376"/>
    </row>
    <row r="410" spans="51:51">
      <c r="AY410" s="376"/>
    </row>
    <row r="411" spans="51:51">
      <c r="AY411" s="376"/>
    </row>
    <row r="412" spans="51:51">
      <c r="AY412" s="376"/>
    </row>
    <row r="413" spans="51:51">
      <c r="AY413" s="376"/>
    </row>
    <row r="414" spans="51:51">
      <c r="AY414" s="376"/>
    </row>
    <row r="415" spans="51:51">
      <c r="AY415" s="376"/>
    </row>
    <row r="416" spans="51:51">
      <c r="AY416" s="376"/>
    </row>
    <row r="417" spans="51:51">
      <c r="AY417" s="376"/>
    </row>
    <row r="418" spans="51:51">
      <c r="AY418" s="376"/>
    </row>
    <row r="419" spans="51:51">
      <c r="AY419" s="376"/>
    </row>
    <row r="420" spans="51:51">
      <c r="AY420" s="376"/>
    </row>
    <row r="421" spans="51:51">
      <c r="AY421" s="376"/>
    </row>
    <row r="422" spans="51:51">
      <c r="AY422" s="376"/>
    </row>
    <row r="423" spans="51:51">
      <c r="AY423" s="376"/>
    </row>
    <row r="424" spans="51:51">
      <c r="AY424" s="376"/>
    </row>
    <row r="425" spans="51:51">
      <c r="AY425" s="376"/>
    </row>
    <row r="426" spans="51:51">
      <c r="AY426" s="376"/>
    </row>
    <row r="427" spans="51:51">
      <c r="AY427" s="376"/>
    </row>
    <row r="428" spans="51:51">
      <c r="AY428" s="376"/>
    </row>
    <row r="429" spans="51:51">
      <c r="AY429" s="376"/>
    </row>
    <row r="430" spans="51:51">
      <c r="AY430" s="376"/>
    </row>
    <row r="431" spans="51:51">
      <c r="AY431" s="376"/>
    </row>
    <row r="432" spans="51:51">
      <c r="AY432" s="376"/>
    </row>
    <row r="433" spans="51:51">
      <c r="AY433" s="376"/>
    </row>
    <row r="434" spans="51:51">
      <c r="AY434" s="376"/>
    </row>
    <row r="435" spans="51:51">
      <c r="AY435" s="376"/>
    </row>
    <row r="436" spans="51:51">
      <c r="AY436" s="376"/>
    </row>
    <row r="437" spans="51:51">
      <c r="AY437" s="376"/>
    </row>
    <row r="438" spans="51:51">
      <c r="AY438" s="376"/>
    </row>
    <row r="439" spans="51:51">
      <c r="AY439" s="376"/>
    </row>
    <row r="440" spans="51:51">
      <c r="AY440" s="376"/>
    </row>
    <row r="441" spans="51:51">
      <c r="AY441" s="376"/>
    </row>
    <row r="442" spans="51:51">
      <c r="AY442" s="376"/>
    </row>
    <row r="443" spans="51:51">
      <c r="AY443" s="376"/>
    </row>
    <row r="444" spans="51:51">
      <c r="AY444" s="376"/>
    </row>
    <row r="445" spans="51:51">
      <c r="AY445" s="376"/>
    </row>
    <row r="446" spans="51:51">
      <c r="AY446" s="376"/>
    </row>
    <row r="447" spans="51:51">
      <c r="AY447" s="376"/>
    </row>
    <row r="448" spans="51:51">
      <c r="AY448" s="376"/>
    </row>
    <row r="449" spans="51:51">
      <c r="AY449" s="376"/>
    </row>
    <row r="450" spans="51:51">
      <c r="AY450" s="376"/>
    </row>
    <row r="451" spans="51:51">
      <c r="AY451" s="376"/>
    </row>
    <row r="452" spans="51:51">
      <c r="AY452" s="376"/>
    </row>
    <row r="453" spans="51:51">
      <c r="AY453" s="376"/>
    </row>
    <row r="454" spans="51:51">
      <c r="AY454" s="376"/>
    </row>
    <row r="455" spans="51:51">
      <c r="AY455" s="376"/>
    </row>
    <row r="456" spans="51:51">
      <c r="AY456" s="376"/>
    </row>
    <row r="457" spans="51:51">
      <c r="AY457" s="376"/>
    </row>
    <row r="458" spans="51:51">
      <c r="AY458" s="376"/>
    </row>
    <row r="459" spans="51:51">
      <c r="AY459" s="376"/>
    </row>
    <row r="460" spans="51:51">
      <c r="AY460" s="376"/>
    </row>
    <row r="461" spans="51:51">
      <c r="AY461" s="376"/>
    </row>
    <row r="462" spans="51:51">
      <c r="AY462" s="376"/>
    </row>
    <row r="463" spans="51:51">
      <c r="AY463" s="376"/>
    </row>
    <row r="464" spans="51:51">
      <c r="AY464" s="376"/>
    </row>
    <row r="465" spans="51:51">
      <c r="AY465" s="376"/>
    </row>
    <row r="466" spans="51:51">
      <c r="AY466" s="376"/>
    </row>
    <row r="467" spans="51:51">
      <c r="AY467" s="376"/>
    </row>
    <row r="468" spans="51:51">
      <c r="AY468" s="376"/>
    </row>
    <row r="469" spans="51:51">
      <c r="AY469" s="376"/>
    </row>
    <row r="470" spans="51:51">
      <c r="AY470" s="376"/>
    </row>
    <row r="471" spans="51:51">
      <c r="AY471" s="376"/>
    </row>
    <row r="472" spans="51:51">
      <c r="AY472" s="376"/>
    </row>
    <row r="473" spans="51:51">
      <c r="AY473" s="376"/>
    </row>
    <row r="474" spans="51:51">
      <c r="AY474" s="376"/>
    </row>
    <row r="475" spans="51:51">
      <c r="AY475" s="376"/>
    </row>
    <row r="476" spans="51:51">
      <c r="AY476" s="376"/>
    </row>
    <row r="477" spans="51:51">
      <c r="AY477" s="376"/>
    </row>
    <row r="478" spans="51:51">
      <c r="AY478" s="376"/>
    </row>
    <row r="479" spans="51:51">
      <c r="AY479" s="376"/>
    </row>
    <row r="480" spans="51:51">
      <c r="AY480" s="376"/>
    </row>
    <row r="481" spans="51:51">
      <c r="AY481" s="376"/>
    </row>
    <row r="482" spans="51:51">
      <c r="AY482" s="376"/>
    </row>
    <row r="483" spans="51:51">
      <c r="AY483" s="376"/>
    </row>
    <row r="484" spans="51:51">
      <c r="AY484" s="376"/>
    </row>
    <row r="485" spans="51:51">
      <c r="AY485" s="376"/>
    </row>
    <row r="486" spans="51:51">
      <c r="AY486" s="376"/>
    </row>
    <row r="487" spans="51:51">
      <c r="AY487" s="376"/>
    </row>
    <row r="488" spans="51:51">
      <c r="AY488" s="376"/>
    </row>
    <row r="489" spans="51:51">
      <c r="AY489" s="376"/>
    </row>
    <row r="490" spans="51:51">
      <c r="AY490" s="376"/>
    </row>
    <row r="491" spans="51:51">
      <c r="AY491" s="376"/>
    </row>
    <row r="492" spans="51:51">
      <c r="AY492" s="376"/>
    </row>
    <row r="493" spans="51:51">
      <c r="AY493" s="376"/>
    </row>
    <row r="494" spans="51:51">
      <c r="AY494" s="376"/>
    </row>
    <row r="495" spans="51:51">
      <c r="AY495" s="376"/>
    </row>
    <row r="496" spans="51:51">
      <c r="AY496" s="376"/>
    </row>
    <row r="497" spans="51:51">
      <c r="AY497" s="376"/>
    </row>
    <row r="498" spans="51:51">
      <c r="AY498" s="376"/>
    </row>
    <row r="499" spans="51:51">
      <c r="AY499" s="376"/>
    </row>
    <row r="500" spans="51:51">
      <c r="AY500" s="376"/>
    </row>
    <row r="501" spans="51:51">
      <c r="AY501" s="376"/>
    </row>
    <row r="502" spans="51:51">
      <c r="AY502" s="376"/>
    </row>
    <row r="503" spans="51:51">
      <c r="AY503" s="376"/>
    </row>
    <row r="504" spans="51:51">
      <c r="AY504" s="376"/>
    </row>
    <row r="505" spans="51:51">
      <c r="AY505" s="376"/>
    </row>
    <row r="506" spans="51:51">
      <c r="AY506" s="376"/>
    </row>
    <row r="507" spans="51:51">
      <c r="AY507" s="376"/>
    </row>
    <row r="508" spans="51:51">
      <c r="AY508" s="376"/>
    </row>
    <row r="509" spans="51:51">
      <c r="AY509" s="376"/>
    </row>
    <row r="510" spans="51:51">
      <c r="AY510" s="376"/>
    </row>
    <row r="511" spans="51:51">
      <c r="AY511" s="376"/>
    </row>
    <row r="512" spans="51:51">
      <c r="AY512" s="376"/>
    </row>
    <row r="513" spans="51:51">
      <c r="AY513" s="376"/>
    </row>
    <row r="514" spans="51:51">
      <c r="AY514" s="376"/>
    </row>
    <row r="515" spans="51:51">
      <c r="AY515" s="376"/>
    </row>
    <row r="516" spans="51:51">
      <c r="AY516" s="376"/>
    </row>
    <row r="517" spans="51:51">
      <c r="AY517" s="376"/>
    </row>
    <row r="518" spans="51:51">
      <c r="AY518" s="376"/>
    </row>
    <row r="519" spans="51:51">
      <c r="AY519" s="376"/>
    </row>
    <row r="520" spans="51:51">
      <c r="AY520" s="376"/>
    </row>
    <row r="521" spans="51:51">
      <c r="AY521" s="376"/>
    </row>
    <row r="522" spans="51:51">
      <c r="AY522" s="376"/>
    </row>
    <row r="523" spans="51:51">
      <c r="AY523" s="376"/>
    </row>
    <row r="524" spans="51:51">
      <c r="AY524" s="376"/>
    </row>
    <row r="525" spans="51:51">
      <c r="AY525" s="376"/>
    </row>
    <row r="526" spans="51:51">
      <c r="AY526" s="376"/>
    </row>
    <row r="527" spans="51:51">
      <c r="AY527" s="376"/>
    </row>
    <row r="528" spans="51:51">
      <c r="AY528" s="376"/>
    </row>
    <row r="529" spans="51:51">
      <c r="AY529" s="376"/>
    </row>
    <row r="530" spans="51:51">
      <c r="AY530" s="376"/>
    </row>
    <row r="531" spans="51:51">
      <c r="AY531" s="376"/>
    </row>
    <row r="532" spans="51:51">
      <c r="AY532" s="376"/>
    </row>
    <row r="533" spans="51:51">
      <c r="AY533" s="376"/>
    </row>
    <row r="534" spans="51:51">
      <c r="AY534" s="376"/>
    </row>
    <row r="535" spans="51:51">
      <c r="AY535" s="376"/>
    </row>
    <row r="536" spans="51:51">
      <c r="AY536" s="376"/>
    </row>
    <row r="537" spans="51:51">
      <c r="AY537" s="376"/>
    </row>
    <row r="538" spans="51:51">
      <c r="AY538" s="376"/>
    </row>
    <row r="539" spans="51:51">
      <c r="AY539" s="376"/>
    </row>
    <row r="540" spans="51:51">
      <c r="AY540" s="376"/>
    </row>
    <row r="541" spans="51:51">
      <c r="AY541" s="376"/>
    </row>
    <row r="542" spans="51:51">
      <c r="AY542" s="376"/>
    </row>
    <row r="543" spans="51:51">
      <c r="AY543" s="376"/>
    </row>
    <row r="544" spans="51:51">
      <c r="AY544" s="376"/>
    </row>
    <row r="545" spans="51:51">
      <c r="AY545" s="376"/>
    </row>
    <row r="546" spans="51:51">
      <c r="AY546" s="376"/>
    </row>
    <row r="547" spans="51:51">
      <c r="AY547" s="376"/>
    </row>
    <row r="548" spans="51:51">
      <c r="AY548" s="376"/>
    </row>
    <row r="549" spans="51:51">
      <c r="AY549" s="376"/>
    </row>
    <row r="550" spans="51:51">
      <c r="AY550" s="376"/>
    </row>
    <row r="551" spans="51:51">
      <c r="AY551" s="376"/>
    </row>
    <row r="552" spans="51:51">
      <c r="AY552" s="376"/>
    </row>
    <row r="553" spans="51:51">
      <c r="AY553" s="376"/>
    </row>
    <row r="554" spans="51:51">
      <c r="AY554" s="376"/>
    </row>
    <row r="555" spans="51:51">
      <c r="AY555" s="376"/>
    </row>
    <row r="556" spans="51:51">
      <c r="AY556" s="376"/>
    </row>
    <row r="557" spans="51:51">
      <c r="AY557" s="376"/>
    </row>
    <row r="558" spans="51:51">
      <c r="AY558" s="376"/>
    </row>
    <row r="559" spans="51:51">
      <c r="AY559" s="376"/>
    </row>
    <row r="560" spans="51:51">
      <c r="AY560" s="376"/>
    </row>
    <row r="561" spans="51:51">
      <c r="AY561" s="376"/>
    </row>
    <row r="562" spans="51:51">
      <c r="AY562" s="376"/>
    </row>
    <row r="563" spans="51:51">
      <c r="AY563" s="376"/>
    </row>
    <row r="564" spans="51:51">
      <c r="AY564" s="376"/>
    </row>
    <row r="565" spans="51:51">
      <c r="AY565" s="376"/>
    </row>
    <row r="566" spans="51:51">
      <c r="AY566" s="376"/>
    </row>
    <row r="567" spans="51:51">
      <c r="AY567" s="376"/>
    </row>
    <row r="568" spans="51:51">
      <c r="AY568" s="376"/>
    </row>
    <row r="569" spans="51:51">
      <c r="AY569" s="376"/>
    </row>
    <row r="570" spans="51:51">
      <c r="AY570" s="376"/>
    </row>
    <row r="571" spans="51:51">
      <c r="AY571" s="376"/>
    </row>
    <row r="572" spans="51:51">
      <c r="AY572" s="376"/>
    </row>
    <row r="573" spans="51:51">
      <c r="AY573" s="376"/>
    </row>
    <row r="574" spans="51:51">
      <c r="AY574" s="376"/>
    </row>
    <row r="575" spans="51:51">
      <c r="AY575" s="376"/>
    </row>
    <row r="576" spans="51:51">
      <c r="AY576" s="376"/>
    </row>
    <row r="577" spans="51:51">
      <c r="AY577" s="376"/>
    </row>
    <row r="578" spans="51:51">
      <c r="AY578" s="376"/>
    </row>
    <row r="579" spans="51:51">
      <c r="AY579" s="376"/>
    </row>
    <row r="580" spans="51:51">
      <c r="AY580" s="376"/>
    </row>
    <row r="581" spans="51:51">
      <c r="AY581" s="376"/>
    </row>
    <row r="582" spans="51:51">
      <c r="AY582" s="376"/>
    </row>
    <row r="583" spans="51:51">
      <c r="AY583" s="376"/>
    </row>
    <row r="584" spans="51:51">
      <c r="AY584" s="376"/>
    </row>
    <row r="585" spans="51:51">
      <c r="AY585" s="376"/>
    </row>
    <row r="586" spans="51:51">
      <c r="AY586" s="376"/>
    </row>
    <row r="587" spans="51:51">
      <c r="AY587" s="376"/>
    </row>
    <row r="588" spans="51:51">
      <c r="AY588" s="376"/>
    </row>
    <row r="589" spans="51:51">
      <c r="AY589" s="376"/>
    </row>
    <row r="590" spans="51:51">
      <c r="AY590" s="376"/>
    </row>
    <row r="591" spans="51:51">
      <c r="AY591" s="376"/>
    </row>
    <row r="592" spans="51:51">
      <c r="AY592" s="376"/>
    </row>
    <row r="593" spans="51:51">
      <c r="AY593" s="376"/>
    </row>
    <row r="594" spans="51:51">
      <c r="AY594" s="376"/>
    </row>
    <row r="595" spans="51:51">
      <c r="AY595" s="376"/>
    </row>
    <row r="596" spans="51:51">
      <c r="AY596" s="376"/>
    </row>
    <row r="597" spans="51:51">
      <c r="AY597" s="376"/>
    </row>
    <row r="598" spans="51:51">
      <c r="AY598" s="376"/>
    </row>
    <row r="599" spans="51:51">
      <c r="AY599" s="376"/>
    </row>
    <row r="600" spans="51:51">
      <c r="AY600" s="376"/>
    </row>
    <row r="601" spans="51:51">
      <c r="AY601" s="376"/>
    </row>
    <row r="602" spans="51:51">
      <c r="AY602" s="376"/>
    </row>
    <row r="603" spans="51:51">
      <c r="AY603" s="376"/>
    </row>
    <row r="604" spans="51:51">
      <c r="AY604" s="376"/>
    </row>
    <row r="605" spans="51:51">
      <c r="AY605" s="376"/>
    </row>
    <row r="606" spans="51:51">
      <c r="AY606" s="376"/>
    </row>
    <row r="607" spans="51:51">
      <c r="AY607" s="376"/>
    </row>
    <row r="608" spans="51:51">
      <c r="AY608" s="376"/>
    </row>
    <row r="609" spans="40:51">
      <c r="AY609" s="376"/>
    </row>
    <row r="610" spans="40:51">
      <c r="AY610" s="376"/>
    </row>
    <row r="611" spans="40:51">
      <c r="AY611" s="376"/>
    </row>
    <row r="612" spans="40:51">
      <c r="AY612" s="376"/>
    </row>
    <row r="613" spans="40:51">
      <c r="AY613" s="376"/>
    </row>
    <row r="614" spans="40:51">
      <c r="AY614" s="376"/>
    </row>
    <row r="615" spans="40:51">
      <c r="AY615" s="376"/>
    </row>
    <row r="616" spans="40:51">
      <c r="AY616" s="376"/>
    </row>
    <row r="617" spans="40:51">
      <c r="AY617" s="376"/>
    </row>
    <row r="618" spans="40:51">
      <c r="AY618" s="376"/>
    </row>
    <row r="619" spans="40:51">
      <c r="AY619" s="376"/>
    </row>
    <row r="620" spans="40:51">
      <c r="AY620" s="376"/>
    </row>
    <row r="621" spans="40:51">
      <c r="AY621" s="376"/>
    </row>
    <row r="622" spans="40:51">
      <c r="AN622" s="379"/>
      <c r="AO622" s="379"/>
      <c r="AP622" s="379"/>
      <c r="AQ622" s="379"/>
      <c r="AR622" s="379"/>
      <c r="AS622" s="379"/>
      <c r="AT622" s="379"/>
      <c r="AU622" s="379"/>
      <c r="AV622" s="379"/>
      <c r="AW622" s="379"/>
      <c r="AY622" s="376"/>
    </row>
    <row r="623" spans="40:51">
      <c r="AN623" s="379"/>
      <c r="AO623" s="379"/>
      <c r="AP623" s="379"/>
      <c r="AQ623" s="379"/>
      <c r="AR623" s="379"/>
      <c r="AS623" s="379"/>
      <c r="AT623" s="379"/>
      <c r="AU623" s="379"/>
      <c r="AV623" s="379"/>
      <c r="AW623" s="379"/>
      <c r="AY623" s="376"/>
    </row>
    <row r="624" spans="40:51">
      <c r="AN624" s="379"/>
      <c r="AO624" s="379"/>
      <c r="AP624" s="379"/>
      <c r="AQ624" s="379"/>
      <c r="AR624" s="379"/>
      <c r="AS624" s="379"/>
      <c r="AT624" s="379"/>
      <c r="AU624" s="379"/>
      <c r="AV624" s="379"/>
      <c r="AW624" s="379"/>
      <c r="AY624" s="376"/>
    </row>
    <row r="625" spans="40:51">
      <c r="AN625" s="379"/>
      <c r="AO625" s="379"/>
      <c r="AP625" s="379"/>
      <c r="AQ625" s="379"/>
      <c r="AR625" s="379"/>
      <c r="AS625" s="379"/>
      <c r="AT625" s="379"/>
      <c r="AU625" s="379"/>
      <c r="AV625" s="379"/>
      <c r="AW625" s="379"/>
      <c r="AY625" s="376"/>
    </row>
    <row r="626" spans="40:51">
      <c r="AN626" s="379"/>
      <c r="AO626" s="379"/>
      <c r="AP626" s="379"/>
      <c r="AQ626" s="379"/>
      <c r="AR626" s="379"/>
      <c r="AS626" s="379"/>
      <c r="AT626" s="379"/>
      <c r="AU626" s="379"/>
      <c r="AV626" s="379"/>
      <c r="AW626" s="379"/>
      <c r="AY626" s="376"/>
    </row>
    <row r="627" spans="40:51">
      <c r="AN627" s="379"/>
      <c r="AO627" s="379"/>
      <c r="AP627" s="379"/>
      <c r="AQ627" s="379"/>
      <c r="AR627" s="379"/>
      <c r="AS627" s="379"/>
      <c r="AT627" s="379"/>
      <c r="AU627" s="379"/>
      <c r="AV627" s="379"/>
      <c r="AW627" s="379"/>
      <c r="AY627" s="376"/>
    </row>
    <row r="628" spans="40:51">
      <c r="AN628" s="379"/>
      <c r="AO628" s="379"/>
      <c r="AP628" s="379"/>
      <c r="AQ628" s="379"/>
      <c r="AR628" s="379"/>
      <c r="AS628" s="379"/>
      <c r="AT628" s="379"/>
      <c r="AU628" s="379"/>
      <c r="AV628" s="379"/>
      <c r="AW628" s="379"/>
      <c r="AY628" s="376"/>
    </row>
    <row r="629" spans="40:51">
      <c r="AN629" s="379"/>
      <c r="AO629" s="379"/>
      <c r="AP629" s="379"/>
      <c r="AQ629" s="379"/>
      <c r="AR629" s="379"/>
      <c r="AS629" s="379"/>
      <c r="AT629" s="379"/>
      <c r="AU629" s="379"/>
      <c r="AV629" s="379"/>
      <c r="AW629" s="379"/>
      <c r="AY629" s="376"/>
    </row>
    <row r="630" spans="40:51">
      <c r="AN630" s="379"/>
      <c r="AO630" s="379"/>
      <c r="AP630" s="379"/>
      <c r="AQ630" s="379"/>
      <c r="AR630" s="379"/>
      <c r="AS630" s="379"/>
      <c r="AT630" s="379"/>
      <c r="AU630" s="379"/>
      <c r="AV630" s="379"/>
      <c r="AW630" s="379"/>
      <c r="AY630" s="376"/>
    </row>
    <row r="631" spans="40:51">
      <c r="AN631" s="379"/>
      <c r="AO631" s="379"/>
      <c r="AP631" s="379"/>
      <c r="AQ631" s="379"/>
      <c r="AR631" s="379"/>
      <c r="AS631" s="379"/>
      <c r="AT631" s="379"/>
      <c r="AU631" s="379"/>
      <c r="AV631" s="379"/>
      <c r="AW631" s="379"/>
      <c r="AY631" s="376"/>
    </row>
    <row r="632" spans="40:51">
      <c r="AN632" s="379"/>
      <c r="AO632" s="379"/>
      <c r="AP632" s="379"/>
      <c r="AQ632" s="379"/>
      <c r="AR632" s="379"/>
      <c r="AS632" s="379"/>
      <c r="AT632" s="379"/>
      <c r="AU632" s="379"/>
      <c r="AV632" s="379"/>
      <c r="AW632" s="379"/>
      <c r="AY632" s="376"/>
    </row>
    <row r="633" spans="40:51">
      <c r="AN633" s="379"/>
      <c r="AO633" s="379"/>
      <c r="AP633" s="379"/>
      <c r="AQ633" s="379"/>
      <c r="AR633" s="379"/>
      <c r="AS633" s="379"/>
      <c r="AT633" s="379"/>
      <c r="AU633" s="379"/>
      <c r="AV633" s="379"/>
      <c r="AW633" s="379"/>
      <c r="AY633" s="376"/>
    </row>
    <row r="634" spans="40:51">
      <c r="AN634" s="379"/>
      <c r="AO634" s="379"/>
      <c r="AP634" s="379"/>
      <c r="AQ634" s="379"/>
      <c r="AR634" s="379"/>
      <c r="AS634" s="379"/>
      <c r="AT634" s="379"/>
      <c r="AU634" s="379"/>
      <c r="AV634" s="379"/>
      <c r="AW634" s="379"/>
      <c r="AY634" s="376"/>
    </row>
    <row r="635" spans="40:51">
      <c r="AN635" s="379"/>
      <c r="AO635" s="379"/>
      <c r="AP635" s="379"/>
      <c r="AQ635" s="379"/>
      <c r="AR635" s="379"/>
      <c r="AS635" s="379"/>
      <c r="AT635" s="379"/>
      <c r="AU635" s="379"/>
      <c r="AV635" s="379"/>
      <c r="AW635" s="379"/>
      <c r="AY635" s="376"/>
    </row>
    <row r="636" spans="40:51">
      <c r="AN636" s="379"/>
      <c r="AO636" s="379"/>
      <c r="AP636" s="379"/>
      <c r="AQ636" s="379"/>
      <c r="AR636" s="379"/>
      <c r="AS636" s="379"/>
      <c r="AT636" s="379"/>
      <c r="AU636" s="379"/>
      <c r="AV636" s="379"/>
      <c r="AW636" s="379"/>
      <c r="AY636" s="376"/>
    </row>
    <row r="637" spans="40:51">
      <c r="AN637" s="379"/>
      <c r="AO637" s="379"/>
      <c r="AP637" s="379"/>
      <c r="AQ637" s="379"/>
      <c r="AR637" s="379"/>
      <c r="AS637" s="379"/>
      <c r="AT637" s="379"/>
      <c r="AU637" s="379"/>
      <c r="AV637" s="379"/>
      <c r="AW637" s="379"/>
      <c r="AY637" s="376"/>
    </row>
    <row r="638" spans="40:51">
      <c r="AN638" s="379"/>
      <c r="AO638" s="379"/>
      <c r="AP638" s="379"/>
      <c r="AQ638" s="379"/>
      <c r="AR638" s="379"/>
      <c r="AS638" s="379"/>
      <c r="AT638" s="379"/>
      <c r="AU638" s="379"/>
      <c r="AV638" s="379"/>
      <c r="AW638" s="379"/>
      <c r="AY638" s="376"/>
    </row>
    <row r="639" spans="40:51">
      <c r="AN639" s="379"/>
      <c r="AO639" s="379"/>
      <c r="AP639" s="379"/>
      <c r="AQ639" s="379"/>
      <c r="AR639" s="379"/>
      <c r="AS639" s="379"/>
      <c r="AT639" s="379"/>
      <c r="AU639" s="379"/>
      <c r="AV639" s="379"/>
      <c r="AW639" s="379"/>
      <c r="AY639" s="376"/>
    </row>
    <row r="640" spans="40:51">
      <c r="AN640" s="379"/>
      <c r="AO640" s="379"/>
      <c r="AP640" s="379"/>
      <c r="AQ640" s="379"/>
      <c r="AR640" s="379"/>
      <c r="AS640" s="379"/>
      <c r="AT640" s="379"/>
      <c r="AU640" s="379"/>
      <c r="AV640" s="379"/>
      <c r="AW640" s="379"/>
      <c r="AY640" s="376"/>
    </row>
    <row r="641" spans="40:63">
      <c r="AN641" s="379"/>
      <c r="AO641" s="379"/>
      <c r="AP641" s="379"/>
      <c r="AQ641" s="379"/>
      <c r="AR641" s="379"/>
      <c r="AS641" s="379"/>
      <c r="AT641" s="379"/>
      <c r="AU641" s="379"/>
      <c r="AV641" s="379"/>
      <c r="AW641" s="379"/>
      <c r="AY641" s="376"/>
      <c r="AZ641" s="376"/>
      <c r="BA641" s="376"/>
      <c r="BB641" s="380"/>
      <c r="BD641" s="376"/>
      <c r="BE641" s="376"/>
      <c r="BF641" s="376"/>
      <c r="BG641" s="380"/>
      <c r="BH641" s="380"/>
      <c r="BI641" s="380"/>
      <c r="BJ641" s="380"/>
      <c r="BK641" s="380"/>
    </row>
    <row r="642" spans="40:63">
      <c r="AR642" s="376"/>
      <c r="AS642" s="376"/>
      <c r="AT642" s="380"/>
      <c r="AU642" s="380"/>
      <c r="AV642" s="380"/>
      <c r="AW642" s="380"/>
      <c r="AY642" s="376"/>
      <c r="AZ642" s="376"/>
      <c r="BA642" s="376"/>
      <c r="BB642" s="380"/>
      <c r="BD642" s="376"/>
      <c r="BE642" s="376"/>
      <c r="BF642" s="376"/>
      <c r="BG642" s="380"/>
      <c r="BH642" s="380"/>
      <c r="BI642" s="380"/>
      <c r="BJ642" s="380"/>
      <c r="BK642" s="380"/>
    </row>
    <row r="643" spans="40:63">
      <c r="AR643" s="376"/>
      <c r="AS643" s="376"/>
      <c r="AT643" s="380"/>
      <c r="AU643" s="380"/>
      <c r="AV643" s="380"/>
      <c r="AW643" s="380"/>
      <c r="AY643" s="376"/>
      <c r="AZ643" s="376"/>
      <c r="BA643" s="376"/>
      <c r="BB643" s="380"/>
      <c r="BD643" s="376"/>
      <c r="BE643" s="376"/>
      <c r="BF643" s="376"/>
      <c r="BG643" s="380"/>
      <c r="BH643" s="380"/>
      <c r="BI643" s="380"/>
      <c r="BJ643" s="380"/>
      <c r="BK643" s="380"/>
    </row>
    <row r="644" spans="40:63">
      <c r="AR644" s="376"/>
      <c r="AS644" s="376"/>
      <c r="AT644" s="380"/>
      <c r="AU644" s="380"/>
      <c r="AV644" s="380"/>
      <c r="AW644" s="380"/>
      <c r="AY644" s="376"/>
      <c r="AZ644" s="376"/>
      <c r="BA644" s="376"/>
      <c r="BB644" s="380"/>
      <c r="BD644" s="376"/>
      <c r="BE644" s="376"/>
      <c r="BF644" s="376"/>
      <c r="BG644" s="380"/>
      <c r="BH644" s="380"/>
      <c r="BI644" s="380"/>
      <c r="BJ644" s="380"/>
      <c r="BK644" s="380"/>
    </row>
    <row r="645" spans="40:63">
      <c r="AR645" s="376"/>
      <c r="AS645" s="376"/>
      <c r="AT645" s="380"/>
      <c r="AU645" s="380"/>
      <c r="AV645" s="380"/>
      <c r="AW645" s="380"/>
      <c r="AY645" s="376"/>
      <c r="AZ645" s="376"/>
      <c r="BA645" s="376"/>
      <c r="BB645" s="380"/>
      <c r="BD645" s="376"/>
      <c r="BE645" s="376"/>
      <c r="BF645" s="376"/>
      <c r="BG645" s="380"/>
      <c r="BH645" s="380"/>
      <c r="BI645" s="380"/>
      <c r="BJ645" s="380"/>
      <c r="BK645" s="380"/>
    </row>
    <row r="646" spans="40:63">
      <c r="AR646" s="376"/>
      <c r="AS646" s="376"/>
      <c r="AT646" s="380"/>
      <c r="AU646" s="380"/>
      <c r="AV646" s="380"/>
      <c r="AW646" s="380"/>
      <c r="AY646" s="376"/>
      <c r="AZ646" s="376"/>
      <c r="BA646" s="376"/>
      <c r="BB646" s="380"/>
      <c r="BD646" s="376"/>
      <c r="BE646" s="376"/>
      <c r="BF646" s="376"/>
      <c r="BG646" s="380"/>
      <c r="BH646" s="380"/>
      <c r="BI646" s="380"/>
      <c r="BJ646" s="380"/>
      <c r="BK646" s="380"/>
    </row>
    <row r="647" spans="40:63">
      <c r="AR647" s="376"/>
      <c r="AS647" s="376"/>
      <c r="AT647" s="380"/>
      <c r="AU647" s="380"/>
      <c r="AV647" s="380"/>
      <c r="AW647" s="380"/>
      <c r="AY647" s="376"/>
      <c r="AZ647" s="376"/>
      <c r="BA647" s="376"/>
      <c r="BB647" s="380"/>
      <c r="BD647" s="376"/>
      <c r="BE647" s="376"/>
      <c r="BF647" s="376"/>
      <c r="BG647" s="380"/>
      <c r="BH647" s="380"/>
      <c r="BI647" s="380"/>
      <c r="BJ647" s="380"/>
      <c r="BK647" s="380"/>
    </row>
    <row r="648" spans="40:63">
      <c r="AR648" s="376"/>
      <c r="AS648" s="376"/>
      <c r="AT648" s="380"/>
      <c r="AU648" s="380"/>
      <c r="AV648" s="380"/>
      <c r="AW648" s="380"/>
      <c r="AY648" s="376"/>
      <c r="AZ648" s="376"/>
      <c r="BA648" s="376"/>
      <c r="BB648" s="380"/>
      <c r="BD648" s="376"/>
      <c r="BE648" s="376"/>
      <c r="BF648" s="376"/>
      <c r="BG648" s="380"/>
      <c r="BH648" s="380"/>
      <c r="BI648" s="380"/>
      <c r="BJ648" s="380"/>
      <c r="BK648" s="380"/>
    </row>
    <row r="649" spans="40:63">
      <c r="AR649" s="376"/>
      <c r="AS649" s="376"/>
      <c r="AT649" s="380"/>
      <c r="AU649" s="380"/>
      <c r="AV649" s="380"/>
      <c r="AW649" s="380"/>
      <c r="AY649" s="376"/>
      <c r="AZ649" s="376"/>
      <c r="BA649" s="376"/>
      <c r="BB649" s="380"/>
      <c r="BD649" s="376"/>
      <c r="BE649" s="376"/>
      <c r="BF649" s="376"/>
      <c r="BG649" s="380"/>
      <c r="BH649" s="380"/>
      <c r="BI649" s="380"/>
      <c r="BJ649" s="380"/>
      <c r="BK649" s="380"/>
    </row>
    <row r="650" spans="40:63">
      <c r="AR650" s="376"/>
      <c r="AS650" s="376"/>
      <c r="AT650" s="380"/>
      <c r="AU650" s="380"/>
      <c r="AV650" s="380"/>
      <c r="AW650" s="380"/>
      <c r="AY650" s="376"/>
      <c r="AZ650" s="376"/>
      <c r="BA650" s="376"/>
      <c r="BB650" s="380"/>
      <c r="BD650" s="376"/>
      <c r="BE650" s="376"/>
      <c r="BF650" s="376"/>
      <c r="BG650" s="380"/>
      <c r="BH650" s="380"/>
      <c r="BI650" s="380"/>
      <c r="BJ650" s="380"/>
      <c r="BK650" s="380"/>
    </row>
    <row r="651" spans="40:63">
      <c r="AR651" s="376"/>
      <c r="AS651" s="376"/>
      <c r="AT651" s="380"/>
      <c r="AU651" s="380"/>
      <c r="AV651" s="380"/>
      <c r="AW651" s="380"/>
      <c r="AY651" s="376"/>
      <c r="AZ651" s="376"/>
      <c r="BA651" s="376"/>
      <c r="BB651" s="380"/>
      <c r="BD651" s="376"/>
      <c r="BE651" s="376"/>
      <c r="BF651" s="376"/>
      <c r="BG651" s="380"/>
      <c r="BH651" s="380"/>
      <c r="BI651" s="380"/>
      <c r="BJ651" s="380"/>
      <c r="BK651" s="380"/>
    </row>
  </sheetData>
  <sheetProtection password="EB90" sheet="1" objects="1" scenarios="1"/>
  <mergeCells count="13">
    <mergeCell ref="B1:H1"/>
    <mergeCell ref="B2:H2"/>
    <mergeCell ref="B4:H4"/>
    <mergeCell ref="B23:H23"/>
    <mergeCell ref="B29:H29"/>
    <mergeCell ref="B26:H26"/>
    <mergeCell ref="B98:H98"/>
    <mergeCell ref="B99:H99"/>
    <mergeCell ref="B173:G173"/>
    <mergeCell ref="B101:C101"/>
    <mergeCell ref="B24:G24"/>
    <mergeCell ref="B25:G25"/>
    <mergeCell ref="B115:D115"/>
  </mergeCells>
  <dataValidations disablePrompts="1" count="1">
    <dataValidation type="decimal" operator="lessThanOrEqual" allowBlank="1" showErrorMessage="1" error="Input a negative number." sqref="D28:AC28">
      <formula1>0</formula1>
    </dataValidation>
  </dataValidations>
  <pageMargins left="0" right="0" top="1" bottom="1" header="0.5" footer="0.5"/>
  <pageSetup paperSize="17" scale="57" orientation="landscape" horizontalDpi="300" verticalDpi="300" r:id="rId1"/>
  <headerFooter alignWithMargins="0"/>
  <drawing r:id="rId2"/>
  <extLst>
    <ext xmlns:x14="http://schemas.microsoft.com/office/spreadsheetml/2009/9/main" uri="{05C60535-1F16-4fd2-B633-F4F36F0B64E0}">
      <x14:sparklineGroups xmlns:xm="http://schemas.microsoft.com/office/excel/2006/main">
        <x14:sparklineGroup manualMax="0" manualMin="0" type="column"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'Revenues from COMPARATIVE Rates'!D122:E122</xm:f>
              <xm:sqref>D124</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6"/>
  </sheetPr>
  <dimension ref="A1:AH57"/>
  <sheetViews>
    <sheetView showGridLines="0" zoomScaleNormal="100" workbookViewId="0">
      <pane ySplit="2" topLeftCell="A3" activePane="bottomLeft" state="frozen"/>
      <selection activeCell="O5" sqref="O5"/>
      <selection pane="bottomLeft" activeCell="A3" sqref="A3"/>
    </sheetView>
  </sheetViews>
  <sheetFormatPr defaultRowHeight="12.75"/>
  <cols>
    <col min="1" max="1" width="13.42578125" style="1" customWidth="1"/>
    <col min="2" max="10" width="9.140625" style="1" customWidth="1"/>
    <col min="11" max="11" width="24.7109375" style="1" customWidth="1"/>
    <col min="12" max="13" width="17.42578125" style="3" customWidth="1"/>
    <col min="14" max="14" width="17.42578125" style="1" customWidth="1"/>
    <col min="15" max="15" width="9.140625" style="1" customWidth="1"/>
    <col min="16" max="16384" width="9.140625" style="1"/>
  </cols>
  <sheetData>
    <row r="1" spans="2:29" s="36" customFormat="1" ht="36.75" customHeight="1">
      <c r="B1" s="1056" t="s">
        <v>378</v>
      </c>
      <c r="C1" s="1056"/>
      <c r="D1" s="1056"/>
      <c r="E1" s="1056"/>
      <c r="F1" s="1056"/>
      <c r="G1" s="1056"/>
      <c r="H1" s="1056"/>
      <c r="I1" s="1056"/>
      <c r="J1" s="1056"/>
      <c r="K1" s="1056"/>
      <c r="L1" s="1056"/>
      <c r="M1" s="1056"/>
      <c r="N1" s="1056"/>
      <c r="O1" s="41"/>
      <c r="P1" s="41"/>
      <c r="Q1" s="41"/>
      <c r="R1" s="41"/>
      <c r="S1" s="41"/>
      <c r="T1" s="41"/>
      <c r="U1" s="41"/>
      <c r="V1" s="41"/>
      <c r="W1" s="41"/>
      <c r="X1" s="41"/>
      <c r="Y1" s="41"/>
      <c r="Z1" s="41"/>
      <c r="AA1" s="41"/>
      <c r="AB1" s="41"/>
      <c r="AC1" s="41"/>
    </row>
    <row r="2" spans="2:29" s="34" customFormat="1" ht="36.75" customHeight="1">
      <c r="B2" s="1057" t="s">
        <v>397</v>
      </c>
      <c r="C2" s="1057"/>
      <c r="D2" s="1057"/>
      <c r="E2" s="1057"/>
      <c r="F2" s="1057"/>
      <c r="G2" s="1057"/>
      <c r="H2" s="1057"/>
      <c r="I2" s="1057"/>
      <c r="J2" s="1057"/>
      <c r="K2" s="1057"/>
      <c r="L2" s="1057"/>
      <c r="M2" s="1057"/>
      <c r="N2" s="1057"/>
      <c r="O2" s="42"/>
      <c r="P2" s="42"/>
      <c r="Q2" s="42"/>
      <c r="R2" s="42"/>
      <c r="S2" s="42"/>
      <c r="T2" s="42"/>
      <c r="U2" s="42"/>
      <c r="V2" s="42"/>
      <c r="W2" s="42"/>
      <c r="X2" s="42"/>
      <c r="Y2" s="42"/>
      <c r="Z2" s="42"/>
      <c r="AA2" s="42"/>
      <c r="AB2" s="42"/>
      <c r="AC2" s="42"/>
    </row>
    <row r="3" spans="2:29" s="34" customFormat="1" ht="13.5" thickBot="1">
      <c r="B3" s="540"/>
      <c r="C3" s="540"/>
      <c r="D3" s="540"/>
      <c r="E3" s="540"/>
      <c r="F3" s="540"/>
      <c r="G3" s="540"/>
      <c r="H3" s="540"/>
      <c r="I3" s="540"/>
      <c r="J3" s="540"/>
      <c r="K3" s="540"/>
      <c r="L3" s="540"/>
      <c r="M3" s="540"/>
      <c r="N3" s="540"/>
      <c r="O3" s="42"/>
      <c r="P3" s="42"/>
      <c r="Q3" s="42"/>
      <c r="R3" s="42"/>
      <c r="S3" s="42"/>
      <c r="T3" s="42"/>
      <c r="U3" s="42"/>
      <c r="V3" s="42"/>
      <c r="W3" s="42"/>
      <c r="X3" s="42"/>
      <c r="Y3" s="42"/>
      <c r="Z3" s="42"/>
      <c r="AA3" s="42"/>
      <c r="AB3" s="42"/>
      <c r="AC3" s="42"/>
    </row>
    <row r="4" spans="2:29" s="44" customFormat="1" ht="17.25" customHeight="1">
      <c r="B4" s="1061" t="s">
        <v>311</v>
      </c>
      <c r="C4" s="1062"/>
      <c r="D4" s="1062"/>
      <c r="E4" s="1062"/>
      <c r="F4" s="1062"/>
      <c r="G4" s="1062"/>
      <c r="H4" s="1062"/>
      <c r="I4" s="1062"/>
      <c r="J4" s="1062"/>
      <c r="K4" s="1062"/>
      <c r="L4" s="1062"/>
      <c r="M4" s="1062"/>
      <c r="N4" s="1063"/>
    </row>
    <row r="5" spans="2:29" s="44" customFormat="1" ht="33" customHeight="1" thickBot="1">
      <c r="B5" s="1058" t="s">
        <v>453</v>
      </c>
      <c r="C5" s="1059"/>
      <c r="D5" s="1059"/>
      <c r="E5" s="1059"/>
      <c r="F5" s="1059"/>
      <c r="G5" s="1059"/>
      <c r="H5" s="1059"/>
      <c r="I5" s="1059"/>
      <c r="J5" s="1059"/>
      <c r="K5" s="1059"/>
      <c r="L5" s="1059"/>
      <c r="M5" s="1059"/>
      <c r="N5" s="1060"/>
    </row>
    <row r="6" spans="2:29" s="44" customFormat="1" ht="14.25" customHeight="1">
      <c r="B6" s="497" t="str">
        <f>IF('Input COMPARATIVE Rates'!$C$6=Callouts!$N$2,"Note: Based on user selection in the 'Input COMPARATIVE Rates' tab, COMPARATIVE rates are IDENTICAL to the REFERENCE rates.","")</f>
        <v/>
      </c>
      <c r="L6" s="45"/>
      <c r="M6" s="45"/>
    </row>
    <row r="7" spans="2:29" s="44" customFormat="1" ht="14.25" customHeight="1" thickBot="1">
      <c r="B7" s="46"/>
      <c r="L7" s="45"/>
      <c r="M7" s="45"/>
    </row>
    <row r="8" spans="2:29" s="793" customFormat="1" ht="48.75" customHeight="1">
      <c r="B8" s="1064" t="s">
        <v>372</v>
      </c>
      <c r="C8" s="1065"/>
      <c r="D8" s="1065"/>
      <c r="E8" s="1065"/>
      <c r="F8" s="1065"/>
      <c r="G8" s="1065"/>
      <c r="H8" s="1065"/>
      <c r="I8" s="1065"/>
      <c r="J8" s="1065"/>
      <c r="K8" s="1065"/>
      <c r="L8" s="1065"/>
      <c r="M8" s="1065"/>
      <c r="N8" s="1066"/>
    </row>
    <row r="9" spans="2:29" ht="15.75" thickBot="1">
      <c r="B9" s="47"/>
      <c r="C9" s="48"/>
      <c r="D9" s="48"/>
      <c r="E9" s="48"/>
      <c r="F9" s="48"/>
      <c r="G9" s="48"/>
      <c r="H9" s="48"/>
      <c r="I9" s="48"/>
      <c r="J9" s="48"/>
      <c r="K9" s="48"/>
      <c r="L9" s="48"/>
      <c r="M9" s="48"/>
      <c r="N9" s="49"/>
    </row>
    <row r="10" spans="2:29" ht="34.5" customHeight="1">
      <c r="B10" s="50"/>
      <c r="C10" s="48"/>
      <c r="D10" s="48"/>
      <c r="E10" s="48"/>
      <c r="F10" s="48"/>
      <c r="G10" s="48"/>
      <c r="H10" s="48"/>
      <c r="I10" s="48"/>
      <c r="J10" s="48"/>
      <c r="K10" s="63"/>
      <c r="L10" s="70" t="s">
        <v>312</v>
      </c>
      <c r="M10" s="70" t="s">
        <v>313</v>
      </c>
      <c r="N10" s="71" t="s">
        <v>83</v>
      </c>
    </row>
    <row r="11" spans="2:29" ht="15">
      <c r="B11" s="50"/>
      <c r="C11" s="48"/>
      <c r="D11" s="48"/>
      <c r="E11" s="48"/>
      <c r="F11" s="48"/>
      <c r="G11" s="48"/>
      <c r="H11" s="48"/>
      <c r="I11" s="48"/>
      <c r="J11" s="48"/>
      <c r="K11" s="794" t="s">
        <v>314</v>
      </c>
      <c r="L11" s="795">
        <f>'Revenues from REFERENCE Rates'!$E$40</f>
        <v>15408000</v>
      </c>
      <c r="M11" s="795">
        <f>'Revenues from COMPARATIVE Rates'!E115</f>
        <v>16419000</v>
      </c>
      <c r="N11" s="796">
        <f>M11-L11</f>
        <v>1011000</v>
      </c>
    </row>
    <row r="12" spans="2:29" ht="15">
      <c r="B12" s="50"/>
      <c r="C12" s="48"/>
      <c r="D12" s="48"/>
      <c r="E12" s="48"/>
      <c r="F12" s="48"/>
      <c r="G12" s="48"/>
      <c r="H12" s="48"/>
      <c r="I12" s="48"/>
      <c r="J12" s="48"/>
      <c r="K12" s="794"/>
      <c r="L12" s="795"/>
      <c r="M12" s="795"/>
      <c r="N12" s="796"/>
    </row>
    <row r="13" spans="2:29" ht="14.25">
      <c r="B13" s="50"/>
      <c r="C13" s="48"/>
      <c r="D13" s="48"/>
      <c r="E13" s="48"/>
      <c r="F13" s="48"/>
      <c r="G13" s="48"/>
      <c r="H13" s="48"/>
      <c r="I13" s="48"/>
      <c r="J13" s="48"/>
      <c r="K13" s="64" t="s">
        <v>316</v>
      </c>
      <c r="L13" s="797">
        <f>'Revenues from REFERENCE Rates'!$E$41</f>
        <v>4322000</v>
      </c>
      <c r="M13" s="797">
        <f>'Revenues from COMPARATIVE Rates'!E117</f>
        <v>6915000</v>
      </c>
      <c r="N13" s="798">
        <f>M13-L13</f>
        <v>2593000</v>
      </c>
    </row>
    <row r="14" spans="2:29" ht="15" thickBot="1">
      <c r="B14" s="50"/>
      <c r="C14" s="48"/>
      <c r="D14" s="48"/>
      <c r="E14" s="48"/>
      <c r="F14" s="48"/>
      <c r="G14" s="48"/>
      <c r="H14" s="48"/>
      <c r="I14" s="48"/>
      <c r="J14" s="48"/>
      <c r="K14" s="65" t="s">
        <v>317</v>
      </c>
      <c r="L14" s="799">
        <f>'Revenues from REFERENCE Rates'!$E$42</f>
        <v>11086000</v>
      </c>
      <c r="M14" s="799">
        <f>'Revenues from COMPARATIVE Rates'!E118</f>
        <v>9504000</v>
      </c>
      <c r="N14" s="800">
        <f>M14-L14</f>
        <v>-1582000</v>
      </c>
    </row>
    <row r="15" spans="2:29">
      <c r="B15" s="50"/>
      <c r="C15" s="48"/>
      <c r="D15" s="48"/>
      <c r="E15" s="48"/>
      <c r="F15" s="48"/>
      <c r="G15" s="48"/>
      <c r="H15" s="48"/>
      <c r="I15" s="48"/>
      <c r="J15" s="48"/>
      <c r="K15" s="51"/>
      <c r="L15" s="51"/>
      <c r="M15" s="51"/>
      <c r="N15" s="52"/>
    </row>
    <row r="16" spans="2:29">
      <c r="B16" s="50"/>
      <c r="C16" s="48"/>
      <c r="D16" s="48"/>
      <c r="E16" s="48"/>
      <c r="F16" s="48"/>
      <c r="G16" s="48"/>
      <c r="H16" s="48"/>
      <c r="I16" s="48"/>
      <c r="J16" s="48"/>
      <c r="K16" s="57" t="s">
        <v>315</v>
      </c>
      <c r="L16" s="58">
        <f>'Revenues from REFERENCE Rates'!$F$41</f>
        <v>0.28050363447559712</v>
      </c>
      <c r="M16" s="58">
        <f>'Revenues from COMPARATIVE Rates'!F117</f>
        <v>0.4211584140325233</v>
      </c>
      <c r="N16" s="59">
        <f>M16-L16</f>
        <v>0.14065477955692618</v>
      </c>
    </row>
    <row r="17" spans="2:14" ht="14.25" customHeight="1">
      <c r="B17" s="50"/>
      <c r="C17" s="48"/>
      <c r="D17" s="48"/>
      <c r="E17" s="48"/>
      <c r="F17" s="48"/>
      <c r="G17" s="48"/>
      <c r="H17" s="48"/>
      <c r="I17" s="48"/>
      <c r="J17" s="48"/>
      <c r="K17" s="60" t="s">
        <v>318</v>
      </c>
      <c r="L17" s="60" t="str">
        <f>L10&amp;"
 ("&amp;ROUND(L16*100,0)&amp;"% base charges)"</f>
        <v>REFERENCE Rates
 (28% base charges)</v>
      </c>
      <c r="M17" s="60" t="str">
        <f>M10&amp;"
 ("&amp;ROUND(M16*100,0)&amp;"% base charges)"</f>
        <v>COMPARATIVE Rates
 (42% base charges)</v>
      </c>
      <c r="N17" s="61"/>
    </row>
    <row r="18" spans="2:14">
      <c r="B18" s="50"/>
      <c r="C18" s="48"/>
      <c r="D18" s="48"/>
      <c r="E18" s="48"/>
      <c r="F18" s="48"/>
      <c r="G18" s="48"/>
      <c r="H18" s="48"/>
      <c r="I18" s="48"/>
      <c r="J18" s="48"/>
      <c r="K18" s="57"/>
      <c r="L18" s="57"/>
      <c r="M18" s="57"/>
      <c r="N18" s="62"/>
    </row>
    <row r="19" spans="2:14" ht="12.75" customHeight="1">
      <c r="B19" s="50"/>
      <c r="C19" s="48"/>
      <c r="D19" s="48"/>
      <c r="E19" s="48"/>
      <c r="F19" s="48"/>
      <c r="G19" s="48"/>
      <c r="H19" s="48"/>
      <c r="I19" s="48"/>
      <c r="J19" s="48"/>
      <c r="K19" s="1070" t="str">
        <f>IF('Input COMPARATIVE Rates'!$C$6=Callouts!$N$2,"The comparative rates are identical to the reference rates. ",IF(M11&lt;L11,"The comparative rate structure is projected to generate "&amp;DOLLAR(N11,0)&amp;" ("&amp;ROUND(-N11*100/L11,1)&amp;"%) LOWER revenues than the reference rate structure.","The comparative rate structure is projected to generate "&amp;DOLLAR(N11,0)&amp;" ("&amp;ROUND(N11*100/L11,1)&amp;"%) GREATER revenues than the reference rate structure."))&amp;IF('Input COMPARATIVE Rates'!$C$6=Callouts!$N$2," No"," This assumes that no change in demand occurs besides residential customers reacting to the rate changes through price elasticity. Thus, no")&amp;" conservation, significant demand fluctuations or weather-related demand changes are modeled in this scenario."</f>
        <v>The comparative rate structure is projected to generate $1,011,000 (6.6%) GREATER revenues than the reference rate structure. This assumes that no change in demand occurs besides residential customers reacting to the rate changes through price elasticity. Thus, no conservation, significant demand fluctuations or weather-related demand changes are modeled in this scenario.</v>
      </c>
      <c r="L19" s="1070"/>
      <c r="M19" s="1070"/>
      <c r="N19" s="1071"/>
    </row>
    <row r="20" spans="2:14">
      <c r="B20" s="50"/>
      <c r="C20" s="48"/>
      <c r="D20" s="48"/>
      <c r="E20" s="48"/>
      <c r="F20" s="48"/>
      <c r="G20" s="48"/>
      <c r="H20" s="48"/>
      <c r="I20" s="48"/>
      <c r="J20" s="48"/>
      <c r="K20" s="1070"/>
      <c r="L20" s="1070"/>
      <c r="M20" s="1070"/>
      <c r="N20" s="1071"/>
    </row>
    <row r="21" spans="2:14">
      <c r="B21" s="50"/>
      <c r="C21" s="48"/>
      <c r="D21" s="48"/>
      <c r="E21" s="48"/>
      <c r="F21" s="48"/>
      <c r="G21" s="48"/>
      <c r="H21" s="48"/>
      <c r="I21" s="48"/>
      <c r="J21" s="48"/>
      <c r="K21" s="1070"/>
      <c r="L21" s="1070"/>
      <c r="M21" s="1070"/>
      <c r="N21" s="1071"/>
    </row>
    <row r="22" spans="2:14">
      <c r="B22" s="50"/>
      <c r="C22" s="48"/>
      <c r="D22" s="48"/>
      <c r="E22" s="48"/>
      <c r="F22" s="48"/>
      <c r="G22" s="48"/>
      <c r="H22" s="48"/>
      <c r="I22" s="48"/>
      <c r="J22" s="48"/>
      <c r="K22" s="1070"/>
      <c r="L22" s="1070"/>
      <c r="M22" s="1070"/>
      <c r="N22" s="1071"/>
    </row>
    <row r="23" spans="2:14">
      <c r="B23" s="50"/>
      <c r="C23" s="48"/>
      <c r="D23" s="48"/>
      <c r="E23" s="48"/>
      <c r="F23" s="48"/>
      <c r="G23" s="48"/>
      <c r="H23" s="48"/>
      <c r="I23" s="48"/>
      <c r="J23" s="48"/>
      <c r="K23" s="1070"/>
      <c r="L23" s="1070"/>
      <c r="M23" s="1070"/>
      <c r="N23" s="1071"/>
    </row>
    <row r="24" spans="2:14">
      <c r="B24" s="50"/>
      <c r="C24" s="48"/>
      <c r="D24" s="48"/>
      <c r="E24" s="48"/>
      <c r="F24" s="48"/>
      <c r="G24" s="48"/>
      <c r="H24" s="48"/>
      <c r="I24" s="48"/>
      <c r="J24" s="48"/>
      <c r="K24" s="1070"/>
      <c r="L24" s="1070"/>
      <c r="M24" s="1070"/>
      <c r="N24" s="1071"/>
    </row>
    <row r="25" spans="2:14" ht="21" customHeight="1">
      <c r="B25" s="50"/>
      <c r="C25" s="48"/>
      <c r="D25" s="48"/>
      <c r="E25" s="48"/>
      <c r="F25" s="48"/>
      <c r="G25" s="48"/>
      <c r="H25" s="48"/>
      <c r="I25" s="48"/>
      <c r="J25" s="48"/>
      <c r="K25" s="1070"/>
      <c r="L25" s="1070"/>
      <c r="M25" s="1070"/>
      <c r="N25" s="1071"/>
    </row>
    <row r="26" spans="2:14" ht="15.75" customHeight="1">
      <c r="B26" s="50"/>
      <c r="C26" s="48"/>
      <c r="D26" s="48"/>
      <c r="E26" s="48"/>
      <c r="F26" s="48"/>
      <c r="G26" s="48"/>
      <c r="H26" s="48"/>
      <c r="I26" s="48"/>
      <c r="J26" s="48"/>
      <c r="K26" s="1070" t="str">
        <f>IF('Input COMPARATIVE Rates'!$C$6=Callouts!$N$2,"",IF(N16&gt;0,"MORE of the revenues would come out of the base charges in the comparative rate structure, increasing revenue resiliency against demand fluctuations.","LESS of the revenues would come out of the base charges in the comparative rate structure, increasing the revenue vulnerability to demand declines."))</f>
        <v>MORE of the revenues would come out of the base charges in the comparative rate structure, increasing revenue resiliency against demand fluctuations.</v>
      </c>
      <c r="L26" s="1070"/>
      <c r="M26" s="1070"/>
      <c r="N26" s="1071"/>
    </row>
    <row r="27" spans="2:14" ht="42.75" customHeight="1">
      <c r="B27" s="50"/>
      <c r="C27" s="48"/>
      <c r="D27" s="48"/>
      <c r="E27" s="48"/>
      <c r="F27" s="48"/>
      <c r="G27" s="48"/>
      <c r="H27" s="48"/>
      <c r="I27" s="48"/>
      <c r="J27" s="48"/>
      <c r="K27" s="1070"/>
      <c r="L27" s="1070"/>
      <c r="M27" s="1070"/>
      <c r="N27" s="1071"/>
    </row>
    <row r="28" spans="2:14" ht="13.5" thickBot="1">
      <c r="B28" s="53"/>
      <c r="C28" s="54"/>
      <c r="D28" s="54"/>
      <c r="E28" s="54"/>
      <c r="F28" s="54"/>
      <c r="G28" s="54"/>
      <c r="H28" s="54"/>
      <c r="I28" s="54"/>
      <c r="J28" s="54"/>
      <c r="K28" s="55"/>
      <c r="L28" s="55"/>
      <c r="M28" s="55"/>
      <c r="N28" s="56"/>
    </row>
    <row r="30" spans="2:14" ht="13.5" thickBot="1"/>
    <row r="31" spans="2:14" ht="48.75" customHeight="1">
      <c r="B31" s="1067" t="s">
        <v>486</v>
      </c>
      <c r="C31" s="1068"/>
      <c r="D31" s="1068"/>
      <c r="E31" s="1068"/>
      <c r="F31" s="1068"/>
      <c r="G31" s="1068"/>
      <c r="H31" s="1068"/>
      <c r="I31" s="1068"/>
      <c r="J31" s="1068"/>
      <c r="K31" s="1068"/>
      <c r="L31" s="1068"/>
      <c r="M31" s="1068"/>
      <c r="N31" s="1069"/>
    </row>
    <row r="32" spans="2:14">
      <c r="B32" s="66"/>
      <c r="C32" s="51"/>
      <c r="D32" s="51"/>
      <c r="E32" s="51"/>
      <c r="F32" s="51"/>
      <c r="G32" s="51"/>
      <c r="H32" s="51"/>
      <c r="I32" s="51"/>
      <c r="J32" s="51"/>
      <c r="K32" s="51"/>
      <c r="L32" s="51"/>
      <c r="M32" s="51"/>
      <c r="N32" s="52"/>
    </row>
    <row r="33" spans="1:34" ht="12.75" customHeight="1">
      <c r="B33" s="66"/>
      <c r="C33" s="51"/>
      <c r="D33" s="51"/>
      <c r="E33" s="51"/>
      <c r="F33" s="51"/>
      <c r="G33" s="51"/>
      <c r="H33" s="51"/>
      <c r="I33" s="51"/>
      <c r="J33" s="51"/>
      <c r="K33" s="1072" t="s">
        <v>523</v>
      </c>
      <c r="L33" s="1072"/>
      <c r="M33" s="1072"/>
      <c r="N33" s="1073"/>
    </row>
    <row r="34" spans="1:34">
      <c r="A34" s="2"/>
      <c r="B34" s="66"/>
      <c r="C34" s="51"/>
      <c r="D34" s="51"/>
      <c r="E34" s="51"/>
      <c r="F34" s="51"/>
      <c r="G34" s="51"/>
      <c r="H34" s="51"/>
      <c r="I34" s="51"/>
      <c r="J34" s="51"/>
      <c r="K34" s="1072"/>
      <c r="L34" s="1072"/>
      <c r="M34" s="1072"/>
      <c r="N34" s="1073"/>
    </row>
    <row r="35" spans="1:34" ht="12.75" customHeight="1">
      <c r="A35" s="2"/>
      <c r="B35" s="66"/>
      <c r="C35" s="51"/>
      <c r="D35" s="51"/>
      <c r="E35" s="51"/>
      <c r="F35" s="51"/>
      <c r="G35" s="51"/>
      <c r="H35" s="51"/>
      <c r="I35" s="51"/>
      <c r="J35" s="51"/>
      <c r="K35" s="1072"/>
      <c r="L35" s="1072"/>
      <c r="M35" s="1072"/>
      <c r="N35" s="1073"/>
      <c r="O35" s="7"/>
    </row>
    <row r="36" spans="1:34" ht="12.75" customHeight="1">
      <c r="A36" s="2"/>
      <c r="B36" s="66"/>
      <c r="C36" s="51"/>
      <c r="D36" s="51"/>
      <c r="E36" s="51"/>
      <c r="F36" s="51"/>
      <c r="G36" s="51"/>
      <c r="H36" s="51"/>
      <c r="I36" s="51"/>
      <c r="J36" s="51"/>
      <c r="K36" s="1072"/>
      <c r="L36" s="1072"/>
      <c r="M36" s="1072"/>
      <c r="N36" s="1073"/>
      <c r="O36" s="7"/>
      <c r="AH36" s="1" t="s">
        <v>1</v>
      </c>
    </row>
    <row r="37" spans="1:34" ht="12.75" customHeight="1">
      <c r="A37" s="2"/>
      <c r="B37" s="66"/>
      <c r="C37" s="51"/>
      <c r="D37" s="51"/>
      <c r="E37" s="51"/>
      <c r="F37" s="51"/>
      <c r="G37" s="51"/>
      <c r="H37" s="51"/>
      <c r="I37" s="51"/>
      <c r="J37" s="51"/>
      <c r="K37" s="1072"/>
      <c r="L37" s="1072"/>
      <c r="M37" s="1072"/>
      <c r="N37" s="1073"/>
      <c r="O37" s="7"/>
    </row>
    <row r="38" spans="1:34" ht="12.75" customHeight="1">
      <c r="A38" s="2"/>
      <c r="B38" s="66"/>
      <c r="C38" s="51"/>
      <c r="D38" s="51"/>
      <c r="E38" s="51"/>
      <c r="F38" s="51"/>
      <c r="G38" s="51"/>
      <c r="H38" s="51"/>
      <c r="I38" s="51"/>
      <c r="J38" s="51"/>
      <c r="K38" s="1072"/>
      <c r="L38" s="1072"/>
      <c r="M38" s="1072"/>
      <c r="N38" s="1073"/>
      <c r="O38" s="7"/>
    </row>
    <row r="39" spans="1:34" ht="12.75" customHeight="1">
      <c r="A39" s="2"/>
      <c r="B39" s="66"/>
      <c r="C39" s="51"/>
      <c r="D39" s="51"/>
      <c r="E39" s="51"/>
      <c r="F39" s="51"/>
      <c r="G39" s="51"/>
      <c r="H39" s="51"/>
      <c r="I39" s="51"/>
      <c r="J39" s="51"/>
      <c r="K39" s="1072"/>
      <c r="L39" s="1072"/>
      <c r="M39" s="1072"/>
      <c r="N39" s="1073"/>
      <c r="O39" s="7"/>
    </row>
    <row r="40" spans="1:34" ht="12.75" customHeight="1">
      <c r="A40" s="2"/>
      <c r="B40" s="66"/>
      <c r="C40" s="51"/>
      <c r="D40" s="51"/>
      <c r="E40" s="51"/>
      <c r="F40" s="51"/>
      <c r="G40" s="51"/>
      <c r="H40" s="51"/>
      <c r="I40" s="51"/>
      <c r="J40" s="51"/>
      <c r="K40" s="1072"/>
      <c r="L40" s="1072"/>
      <c r="M40" s="1072"/>
      <c r="N40" s="1073"/>
      <c r="O40" s="7"/>
      <c r="P40" s="7"/>
      <c r="Q40" s="7"/>
      <c r="R40" s="7"/>
    </row>
    <row r="41" spans="1:34" ht="12.75" customHeight="1">
      <c r="A41" s="2"/>
      <c r="B41" s="66"/>
      <c r="C41" s="51"/>
      <c r="D41" s="51"/>
      <c r="E41" s="51"/>
      <c r="F41" s="51"/>
      <c r="G41" s="51"/>
      <c r="H41" s="51"/>
      <c r="I41" s="51"/>
      <c r="J41" s="51"/>
      <c r="K41" s="1072"/>
      <c r="L41" s="1072"/>
      <c r="M41" s="1072"/>
      <c r="N41" s="1073"/>
      <c r="O41" s="7"/>
      <c r="P41" s="7"/>
      <c r="Q41" s="7"/>
      <c r="R41" s="7"/>
    </row>
    <row r="42" spans="1:34" ht="12.75" customHeight="1">
      <c r="A42" s="2"/>
      <c r="B42" s="66"/>
      <c r="C42" s="51"/>
      <c r="D42" s="51"/>
      <c r="E42" s="51"/>
      <c r="F42" s="51"/>
      <c r="G42" s="51"/>
      <c r="H42" s="51"/>
      <c r="I42" s="51"/>
      <c r="J42" s="51"/>
      <c r="K42" s="1072"/>
      <c r="L42" s="1072"/>
      <c r="M42" s="1072"/>
      <c r="N42" s="1073"/>
      <c r="O42" s="7"/>
      <c r="P42" s="7"/>
      <c r="Q42" s="7"/>
      <c r="R42" s="7"/>
    </row>
    <row r="43" spans="1:34" ht="12.75" customHeight="1">
      <c r="A43" s="2"/>
      <c r="B43" s="66"/>
      <c r="C43" s="51"/>
      <c r="D43" s="51"/>
      <c r="E43" s="51"/>
      <c r="F43" s="51"/>
      <c r="G43" s="51"/>
      <c r="H43" s="51"/>
      <c r="I43" s="51"/>
      <c r="J43" s="51"/>
      <c r="K43" s="1072"/>
      <c r="L43" s="1072"/>
      <c r="M43" s="1072"/>
      <c r="N43" s="1073"/>
      <c r="O43" s="7"/>
      <c r="P43" s="7"/>
      <c r="Q43" s="7"/>
      <c r="R43" s="7"/>
    </row>
    <row r="44" spans="1:34" ht="12.75" customHeight="1">
      <c r="A44" s="2"/>
      <c r="B44" s="66"/>
      <c r="C44" s="51"/>
      <c r="D44" s="51"/>
      <c r="E44" s="51"/>
      <c r="F44" s="51"/>
      <c r="G44" s="51"/>
      <c r="H44" s="51"/>
      <c r="I44" s="51"/>
      <c r="J44" s="51"/>
      <c r="K44" s="1072"/>
      <c r="L44" s="1072"/>
      <c r="M44" s="1072"/>
      <c r="N44" s="1073"/>
      <c r="O44" s="7"/>
      <c r="P44" s="7"/>
      <c r="Q44" s="7"/>
      <c r="R44" s="7"/>
    </row>
    <row r="45" spans="1:34" ht="12.75" customHeight="1">
      <c r="A45" s="2"/>
      <c r="B45" s="66"/>
      <c r="C45" s="51"/>
      <c r="D45" s="51"/>
      <c r="E45" s="51"/>
      <c r="F45" s="51"/>
      <c r="G45" s="51"/>
      <c r="H45" s="51"/>
      <c r="I45" s="51"/>
      <c r="J45" s="51"/>
      <c r="K45" s="1072"/>
      <c r="L45" s="1072"/>
      <c r="M45" s="1072"/>
      <c r="N45" s="1073"/>
      <c r="O45" s="7"/>
      <c r="P45" s="7"/>
      <c r="Q45" s="7"/>
      <c r="R45" s="7"/>
    </row>
    <row r="46" spans="1:34" ht="12.75" customHeight="1">
      <c r="A46" s="2"/>
      <c r="B46" s="66"/>
      <c r="C46" s="51"/>
      <c r="D46" s="51"/>
      <c r="E46" s="51"/>
      <c r="F46" s="51"/>
      <c r="G46" s="51"/>
      <c r="H46" s="51"/>
      <c r="I46" s="51"/>
      <c r="J46" s="51"/>
      <c r="K46" s="1072"/>
      <c r="L46" s="1072"/>
      <c r="M46" s="1072"/>
      <c r="N46" s="1073"/>
      <c r="O46" s="7"/>
      <c r="P46" s="7"/>
      <c r="Q46" s="7"/>
      <c r="R46" s="7"/>
    </row>
    <row r="47" spans="1:34" ht="12.75" customHeight="1">
      <c r="A47" s="2"/>
      <c r="B47" s="66"/>
      <c r="C47" s="51"/>
      <c r="D47" s="51"/>
      <c r="E47" s="51"/>
      <c r="F47" s="51"/>
      <c r="G47" s="51"/>
      <c r="H47" s="51"/>
      <c r="I47" s="51"/>
      <c r="J47" s="51"/>
      <c r="K47" s="1072"/>
      <c r="L47" s="1072"/>
      <c r="M47" s="1072"/>
      <c r="N47" s="1073"/>
      <c r="O47" s="7"/>
      <c r="P47" s="7"/>
      <c r="Q47" s="7"/>
      <c r="R47" s="7"/>
    </row>
    <row r="48" spans="1:34" ht="12.75" customHeight="1">
      <c r="A48" s="2"/>
      <c r="B48" s="66"/>
      <c r="C48" s="51"/>
      <c r="D48" s="51"/>
      <c r="E48" s="51"/>
      <c r="F48" s="51"/>
      <c r="G48" s="51"/>
      <c r="H48" s="51"/>
      <c r="I48" s="51"/>
      <c r="J48" s="51"/>
      <c r="K48" s="1072"/>
      <c r="L48" s="1072"/>
      <c r="M48" s="1072"/>
      <c r="N48" s="1073"/>
      <c r="O48" s="7"/>
      <c r="P48" s="7"/>
      <c r="Q48" s="7"/>
      <c r="R48" s="7"/>
    </row>
    <row r="49" spans="1:18" ht="12.75" customHeight="1">
      <c r="A49" s="2"/>
      <c r="B49" s="66"/>
      <c r="C49" s="51"/>
      <c r="D49" s="51"/>
      <c r="E49" s="51"/>
      <c r="F49" s="51"/>
      <c r="G49" s="51"/>
      <c r="H49" s="51"/>
      <c r="I49" s="51"/>
      <c r="J49" s="51"/>
      <c r="K49" s="1072"/>
      <c r="L49" s="1072"/>
      <c r="M49" s="1072"/>
      <c r="N49" s="1073"/>
      <c r="O49" s="7"/>
      <c r="P49" s="7"/>
      <c r="Q49" s="7"/>
      <c r="R49" s="7"/>
    </row>
    <row r="50" spans="1:18" ht="12.75" customHeight="1">
      <c r="A50" s="2"/>
      <c r="B50" s="66"/>
      <c r="C50" s="51"/>
      <c r="D50" s="51"/>
      <c r="E50" s="51"/>
      <c r="F50" s="51"/>
      <c r="G50" s="51"/>
      <c r="H50" s="51"/>
      <c r="I50" s="51"/>
      <c r="J50" s="51"/>
      <c r="K50" s="1072"/>
      <c r="L50" s="1072"/>
      <c r="M50" s="1072"/>
      <c r="N50" s="1073"/>
      <c r="O50" s="7"/>
      <c r="P50" s="7"/>
      <c r="Q50" s="7"/>
      <c r="R50" s="7"/>
    </row>
    <row r="51" spans="1:18">
      <c r="A51" s="2"/>
      <c r="B51" s="66"/>
      <c r="C51" s="51"/>
      <c r="D51" s="51"/>
      <c r="E51" s="51"/>
      <c r="F51" s="51"/>
      <c r="G51" s="51"/>
      <c r="H51" s="51"/>
      <c r="I51" s="51"/>
      <c r="J51" s="51"/>
      <c r="K51" s="1072"/>
      <c r="L51" s="1072"/>
      <c r="M51" s="1072"/>
      <c r="N51" s="1073"/>
      <c r="O51" s="7"/>
    </row>
    <row r="52" spans="1:18">
      <c r="A52" s="2"/>
      <c r="B52" s="66"/>
      <c r="C52" s="51"/>
      <c r="D52" s="51"/>
      <c r="E52" s="51"/>
      <c r="F52" s="51"/>
      <c r="G52" s="51"/>
      <c r="H52" s="51"/>
      <c r="I52" s="51"/>
      <c r="J52" s="51"/>
      <c r="K52" s="1072"/>
      <c r="L52" s="1072"/>
      <c r="M52" s="1072"/>
      <c r="N52" s="1073"/>
      <c r="O52" s="7"/>
    </row>
    <row r="53" spans="1:18">
      <c r="A53" s="2"/>
      <c r="B53" s="66"/>
      <c r="C53" s="51"/>
      <c r="D53" s="51"/>
      <c r="E53" s="51"/>
      <c r="F53" s="51"/>
      <c r="G53" s="51"/>
      <c r="H53" s="51"/>
      <c r="I53" s="51"/>
      <c r="J53" s="51"/>
      <c r="K53" s="1072"/>
      <c r="L53" s="1072"/>
      <c r="M53" s="1072"/>
      <c r="N53" s="1073"/>
    </row>
    <row r="54" spans="1:18">
      <c r="A54" s="2"/>
      <c r="B54" s="66"/>
      <c r="C54" s="51"/>
      <c r="D54" s="51"/>
      <c r="E54" s="51"/>
      <c r="F54" s="51"/>
      <c r="G54" s="51"/>
      <c r="H54" s="51"/>
      <c r="I54" s="51"/>
      <c r="J54" s="51"/>
      <c r="K54" s="1072"/>
      <c r="L54" s="1072"/>
      <c r="M54" s="1072"/>
      <c r="N54" s="1073"/>
    </row>
    <row r="55" spans="1:18" ht="13.5" thickBot="1">
      <c r="A55" s="2"/>
      <c r="B55" s="67"/>
      <c r="C55" s="68"/>
      <c r="D55" s="68"/>
      <c r="E55" s="68"/>
      <c r="F55" s="68"/>
      <c r="G55" s="68"/>
      <c r="H55" s="68"/>
      <c r="I55" s="68"/>
      <c r="J55" s="68"/>
      <c r="K55" s="68"/>
      <c r="L55" s="68"/>
      <c r="M55" s="68"/>
      <c r="N55" s="69"/>
    </row>
    <row r="56" spans="1:18">
      <c r="A56" s="2"/>
      <c r="B56" s="3"/>
      <c r="C56" s="3"/>
      <c r="D56" s="3"/>
      <c r="E56" s="3"/>
      <c r="F56" s="3"/>
      <c r="G56" s="3"/>
      <c r="H56" s="3"/>
      <c r="I56" s="3"/>
      <c r="J56" s="3"/>
      <c r="K56" s="3"/>
    </row>
    <row r="57" spans="1:18" ht="13.5">
      <c r="B57" s="1055"/>
      <c r="C57" s="1055"/>
      <c r="D57" s="1055"/>
      <c r="E57" s="1055"/>
      <c r="F57" s="1055"/>
      <c r="G57" s="1055"/>
      <c r="H57" s="1055"/>
      <c r="I57" s="1055"/>
      <c r="J57" s="1055"/>
      <c r="K57" s="1055"/>
      <c r="L57" s="1055"/>
      <c r="M57" s="1055"/>
      <c r="N57" s="1055"/>
    </row>
  </sheetData>
  <sheetProtection password="EB90" sheet="1" objects="1" scenarios="1" selectLockedCells="1" selectUnlockedCells="1"/>
  <mergeCells count="10">
    <mergeCell ref="B57:N57"/>
    <mergeCell ref="B1:N1"/>
    <mergeCell ref="B2:N2"/>
    <mergeCell ref="B5:N5"/>
    <mergeCell ref="B4:N4"/>
    <mergeCell ref="B8:N8"/>
    <mergeCell ref="B31:N31"/>
    <mergeCell ref="K19:N25"/>
    <mergeCell ref="K26:N27"/>
    <mergeCell ref="K33:N54"/>
  </mergeCells>
  <printOptions horizontalCentered="1" verticalCentered="1"/>
  <pageMargins left="0.16" right="0.2" top="0.25" bottom="0.55000000000000004" header="0.16" footer="0.26"/>
  <pageSetup scale="80" orientation="portrait" horizontalDpi="300" verticalDpi="300" r:id="rId1"/>
  <headerFooter alignWithMargins="0">
    <oddFooter>&amp;L&amp;6&amp;D   &amp;T   &amp;Z&amp;F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K794"/>
  <sheetViews>
    <sheetView zoomScaleNormal="100" zoomScalePageLayoutView="90" workbookViewId="0">
      <pane ySplit="2" topLeftCell="A3" activePane="bottomLeft" state="frozen"/>
      <selection activeCell="O5" sqref="O5"/>
      <selection pane="bottomLeft" activeCell="A3" sqref="A3"/>
    </sheetView>
  </sheetViews>
  <sheetFormatPr defaultColWidth="9.140625" defaultRowHeight="14.25"/>
  <cols>
    <col min="1" max="1" width="12.140625" style="129" customWidth="1"/>
    <col min="2" max="2" width="55.42578125" style="129" customWidth="1"/>
    <col min="3" max="6" width="21.85546875" style="129" customWidth="1"/>
    <col min="7" max="7" width="21.85546875" style="137" customWidth="1"/>
    <col min="8" max="8" width="31.140625" style="465" customWidth="1"/>
    <col min="9" max="18" width="21" style="466" customWidth="1"/>
    <col min="19" max="19" width="29.85546875" style="466" bestFit="1" customWidth="1"/>
    <col min="20" max="20" width="28.85546875" style="466" customWidth="1"/>
    <col min="21" max="21" width="24" style="466" customWidth="1"/>
    <col min="22" max="22" width="21.85546875" style="466" bestFit="1" customWidth="1"/>
    <col min="23" max="37" width="14.140625" style="466" customWidth="1"/>
    <col min="38" max="39" width="9.140625" style="466"/>
    <col min="40" max="43" width="9.140625" style="129"/>
    <col min="44" max="46" width="11.140625" style="129" bestFit="1" customWidth="1"/>
    <col min="47" max="49" width="12.140625" style="129" bestFit="1" customWidth="1"/>
    <col min="50" max="16384" width="9.140625" style="129"/>
  </cols>
  <sheetData>
    <row r="1" spans="2:39" s="230" customFormat="1" ht="36.75" customHeight="1">
      <c r="B1" s="1021" t="s">
        <v>378</v>
      </c>
      <c r="C1" s="1021"/>
      <c r="D1" s="1021"/>
      <c r="E1" s="1021"/>
      <c r="F1" s="1021"/>
      <c r="G1" s="1021"/>
      <c r="H1" s="381"/>
      <c r="I1" s="381"/>
      <c r="J1" s="381"/>
      <c r="K1" s="381"/>
      <c r="L1" s="381"/>
      <c r="M1" s="381"/>
      <c r="N1" s="381"/>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row>
    <row r="2" spans="2:39" s="312" customFormat="1" ht="36.75" customHeight="1">
      <c r="B2" s="1087" t="s">
        <v>497</v>
      </c>
      <c r="C2" s="1087"/>
      <c r="D2" s="1087"/>
      <c r="E2" s="1087"/>
      <c r="F2" s="1087"/>
      <c r="G2" s="1087"/>
      <c r="H2" s="555"/>
      <c r="I2" s="555"/>
      <c r="J2" s="555"/>
      <c r="K2" s="555"/>
      <c r="L2" s="555"/>
      <c r="M2" s="555"/>
      <c r="N2" s="555"/>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row>
    <row r="3" spans="2:39" s="312" customFormat="1" ht="13.5" thickBot="1">
      <c r="B3" s="541"/>
      <c r="C3" s="541"/>
      <c r="D3" s="541"/>
      <c r="E3" s="541"/>
      <c r="F3" s="541"/>
      <c r="G3" s="541"/>
      <c r="H3" s="556"/>
      <c r="I3" s="556"/>
      <c r="J3" s="556"/>
      <c r="K3" s="556"/>
      <c r="L3" s="556"/>
      <c r="M3" s="556"/>
      <c r="N3" s="556"/>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row>
    <row r="4" spans="2:39" ht="37.5" customHeight="1" thickBot="1">
      <c r="B4" s="1046" t="s">
        <v>455</v>
      </c>
      <c r="C4" s="1047"/>
      <c r="D4" s="1047"/>
      <c r="E4" s="1047"/>
      <c r="F4" s="1047"/>
      <c r="G4" s="1048"/>
      <c r="H4" s="478"/>
      <c r="I4" s="478"/>
      <c r="J4" s="478"/>
    </row>
    <row r="5" spans="2:39">
      <c r="B5" s="428" t="str">
        <f>IF('Input COMPARATIVE Rates'!$C$6=Callouts!$N$2,"Note: Based on user selection in the 'Input COMPARATIVE Rates' tab, COMPARATIVE rates are IDENTICAL to the REFERENCE rates.","")</f>
        <v/>
      </c>
      <c r="C5" s="429"/>
      <c r="D5" s="429"/>
      <c r="E5" s="429"/>
      <c r="F5" s="427"/>
      <c r="G5" s="427"/>
      <c r="H5" s="478"/>
      <c r="I5" s="478"/>
      <c r="J5" s="478"/>
    </row>
    <row r="6" spans="2:39" ht="15" thickBot="1">
      <c r="B6" s="428"/>
      <c r="C6" s="429"/>
      <c r="D6" s="429"/>
      <c r="E6" s="429"/>
      <c r="F6" s="427"/>
      <c r="G6" s="427"/>
      <c r="H6" s="478"/>
      <c r="I6" s="478"/>
      <c r="J6" s="478"/>
    </row>
    <row r="7" spans="2:39" s="802" customFormat="1" ht="27.75" customHeight="1">
      <c r="B7" s="525" t="s">
        <v>454</v>
      </c>
      <c r="C7" s="810"/>
      <c r="D7" s="810"/>
      <c r="E7" s="810"/>
      <c r="F7" s="810"/>
      <c r="G7" s="811"/>
      <c r="H7" s="801"/>
      <c r="I7" s="595"/>
      <c r="J7" s="595"/>
      <c r="K7" s="595"/>
      <c r="L7" s="595"/>
      <c r="M7" s="595"/>
      <c r="N7" s="595"/>
      <c r="O7" s="595"/>
      <c r="P7" s="595"/>
      <c r="Q7" s="595"/>
      <c r="R7" s="595"/>
      <c r="S7" s="595"/>
      <c r="T7" s="595"/>
      <c r="U7" s="595"/>
      <c r="V7" s="595"/>
      <c r="W7" s="595"/>
      <c r="X7" s="595"/>
      <c r="Y7" s="595"/>
      <c r="Z7" s="595"/>
      <c r="AA7" s="595"/>
      <c r="AB7" s="595"/>
      <c r="AC7" s="595"/>
      <c r="AD7" s="595"/>
      <c r="AE7" s="595"/>
      <c r="AF7" s="595"/>
      <c r="AG7" s="595"/>
      <c r="AH7" s="595"/>
      <c r="AI7" s="595"/>
      <c r="AJ7" s="595"/>
      <c r="AK7" s="595"/>
      <c r="AL7" s="595"/>
      <c r="AM7" s="595"/>
    </row>
    <row r="8" spans="2:39" s="820" customFormat="1" ht="174.75" customHeight="1">
      <c r="B8" s="1018" t="s">
        <v>502</v>
      </c>
      <c r="C8" s="1019"/>
      <c r="D8" s="1019"/>
      <c r="E8" s="1019"/>
      <c r="F8" s="1019"/>
      <c r="G8" s="1020"/>
      <c r="H8" s="818"/>
      <c r="I8" s="819"/>
      <c r="J8" s="819"/>
      <c r="K8" s="819"/>
      <c r="L8" s="819"/>
      <c r="M8" s="819"/>
      <c r="N8" s="819"/>
      <c r="O8" s="819"/>
      <c r="P8" s="819"/>
      <c r="Q8" s="819"/>
      <c r="R8" s="819"/>
      <c r="S8" s="819"/>
      <c r="T8" s="819"/>
      <c r="U8" s="819"/>
      <c r="V8" s="819"/>
      <c r="W8" s="819"/>
      <c r="X8" s="819"/>
      <c r="Y8" s="819"/>
      <c r="Z8" s="819"/>
      <c r="AA8" s="819"/>
      <c r="AB8" s="819"/>
      <c r="AC8" s="819"/>
      <c r="AD8" s="819"/>
      <c r="AE8" s="819"/>
      <c r="AF8" s="819"/>
      <c r="AG8" s="819"/>
      <c r="AH8" s="819"/>
      <c r="AI8" s="819"/>
      <c r="AJ8" s="819"/>
      <c r="AK8" s="819"/>
      <c r="AL8" s="819"/>
      <c r="AM8" s="819"/>
    </row>
    <row r="9" spans="2:39" ht="20.25" customHeight="1">
      <c r="B9" s="830" t="s">
        <v>232</v>
      </c>
      <c r="C9" s="484">
        <v>2013</v>
      </c>
      <c r="D9" s="355"/>
      <c r="E9" s="355"/>
      <c r="F9" s="355"/>
      <c r="G9" s="813"/>
    </row>
    <row r="10" spans="2:39" ht="15" customHeight="1">
      <c r="B10" s="812"/>
      <c r="C10" s="355"/>
      <c r="D10" s="355"/>
      <c r="E10" s="355"/>
      <c r="F10" s="355"/>
      <c r="G10" s="813"/>
    </row>
    <row r="11" spans="2:39" ht="15" customHeight="1">
      <c r="B11" s="814" t="s">
        <v>463</v>
      </c>
      <c r="C11" s="355"/>
      <c r="D11" s="355"/>
      <c r="E11" s="355"/>
      <c r="F11" s="355"/>
      <c r="G11" s="813"/>
    </row>
    <row r="12" spans="2:39" ht="46.5" customHeight="1">
      <c r="B12" s="1088" t="s">
        <v>462</v>
      </c>
      <c r="C12" s="1089"/>
      <c r="D12" s="1089"/>
      <c r="E12" s="1089"/>
      <c r="F12" s="1089"/>
      <c r="G12" s="1090"/>
    </row>
    <row r="13" spans="2:39" ht="15.75" thickBot="1">
      <c r="B13" s="831"/>
      <c r="C13" s="832"/>
      <c r="D13" s="832"/>
      <c r="E13" s="832"/>
      <c r="F13" s="832"/>
      <c r="G13" s="833"/>
    </row>
    <row r="14" spans="2:39" s="131" customFormat="1" ht="42.75">
      <c r="B14" s="169"/>
      <c r="C14" s="170" t="s">
        <v>456</v>
      </c>
      <c r="D14" s="170" t="s">
        <v>457</v>
      </c>
      <c r="E14" s="170" t="s">
        <v>458</v>
      </c>
      <c r="F14" s="170" t="s">
        <v>459</v>
      </c>
      <c r="G14" s="171" t="s">
        <v>460</v>
      </c>
      <c r="H14" s="198"/>
      <c r="I14" s="198"/>
      <c r="J14" s="198"/>
      <c r="K14" s="198"/>
      <c r="L14" s="198"/>
      <c r="M14" s="198"/>
      <c r="N14" s="198"/>
      <c r="O14" s="198"/>
      <c r="P14" s="198"/>
      <c r="Q14" s="198"/>
      <c r="R14" s="198"/>
      <c r="S14" s="198"/>
      <c r="T14" s="198"/>
      <c r="U14" s="198"/>
      <c r="V14" s="198"/>
      <c r="W14" s="198"/>
      <c r="X14" s="198"/>
      <c r="Y14" s="198"/>
      <c r="Z14" s="198"/>
      <c r="AA14" s="478"/>
      <c r="AB14" s="478"/>
      <c r="AC14" s="478"/>
      <c r="AD14" s="478"/>
      <c r="AE14" s="478"/>
      <c r="AF14" s="478"/>
      <c r="AG14" s="478"/>
      <c r="AH14" s="478"/>
      <c r="AI14" s="478"/>
      <c r="AJ14" s="478"/>
      <c r="AK14" s="478"/>
      <c r="AL14" s="478"/>
      <c r="AM14" s="478"/>
    </row>
    <row r="15" spans="2:39" ht="36.75" customHeight="1" thickBot="1">
      <c r="B15" s="430" t="s">
        <v>461</v>
      </c>
      <c r="C15" s="827">
        <v>2000</v>
      </c>
      <c r="D15" s="827"/>
      <c r="E15" s="827"/>
      <c r="F15" s="827"/>
      <c r="G15" s="828"/>
      <c r="H15" s="195"/>
      <c r="I15" s="466" t="s">
        <v>236</v>
      </c>
      <c r="N15" s="195"/>
      <c r="O15" s="195" t="s">
        <v>234</v>
      </c>
      <c r="P15" s="195"/>
      <c r="Q15" s="195"/>
      <c r="R15" s="195"/>
      <c r="S15" s="195"/>
      <c r="T15" s="195"/>
      <c r="U15" s="195"/>
      <c r="V15" s="195"/>
      <c r="W15" s="195"/>
    </row>
    <row r="16" spans="2:39" ht="21" customHeight="1">
      <c r="B16" s="829"/>
      <c r="C16" s="1081" t="str">
        <f>IF(C15="","Average Monthly Residential Water Use (Gallons/Month)","Average Monthly Residential Water Use by Consumption Block (Gallons/Month)")</f>
        <v>Average Monthly Residential Water Use by Consumption Block (Gallons/Month)</v>
      </c>
      <c r="D16" s="1081"/>
      <c r="E16" s="1081"/>
      <c r="F16" s="1081"/>
      <c r="G16" s="1082"/>
      <c r="H16" s="195"/>
      <c r="N16" s="195"/>
      <c r="O16" s="195"/>
      <c r="P16" s="195"/>
      <c r="Q16" s="195"/>
      <c r="R16" s="195"/>
      <c r="S16" s="195"/>
      <c r="T16" s="195"/>
      <c r="U16" s="195"/>
      <c r="V16" s="195"/>
      <c r="W16" s="195"/>
    </row>
    <row r="17" spans="2:39" s="802" customFormat="1" ht="30" customHeight="1">
      <c r="B17" s="1083" t="s">
        <v>231</v>
      </c>
      <c r="C17" s="1077" t="str">
        <f>IF(C15="","All volumes","0 - "&amp;C15&amp;" gallons/month")</f>
        <v>0 - 2000 gallons/month</v>
      </c>
      <c r="D17" s="1077" t="str">
        <f>IF(C15="","",IF(D15="",C15+1&amp;" gallons/month onwards",C15+1&amp;" - "&amp;D15&amp;" gallons/month"))</f>
        <v>2001 gallons/month onwards</v>
      </c>
      <c r="E17" s="1077" t="str">
        <f>IF(D15="","",IF(E15="",D15+1&amp;" gallons/month onwards",D15+1&amp;" - "&amp;E15&amp;" gallons/month"))</f>
        <v/>
      </c>
      <c r="F17" s="1077" t="str">
        <f>IF(E15="","",IF(F15="",E15+1&amp;" gallons/month onwards",E15+1&amp;" - "&amp;F15&amp;" gallons/month"))</f>
        <v/>
      </c>
      <c r="G17" s="1079" t="str">
        <f>IF(F15="","",IF(G15="",F15+1&amp;" gallons/month onwards",F15+1&amp;" - "&amp;G15&amp;" gallons/month"))</f>
        <v/>
      </c>
      <c r="H17" s="196"/>
      <c r="I17" s="816" t="str">
        <f>C17</f>
        <v>0 - 2000 gallons/month</v>
      </c>
      <c r="J17" s="816" t="str">
        <f>D17</f>
        <v>2001 gallons/month onwards</v>
      </c>
      <c r="K17" s="816" t="str">
        <f>E17</f>
        <v/>
      </c>
      <c r="L17" s="816" t="str">
        <f>F17</f>
        <v/>
      </c>
      <c r="M17" s="816" t="str">
        <f>G17</f>
        <v/>
      </c>
      <c r="N17" s="196"/>
      <c r="O17" s="817" t="str">
        <f>C17</f>
        <v>0 - 2000 gallons/month</v>
      </c>
      <c r="P17" s="817" t="str">
        <f>D17</f>
        <v>2001 gallons/month onwards</v>
      </c>
      <c r="Q17" s="817" t="str">
        <f>E17</f>
        <v/>
      </c>
      <c r="R17" s="817" t="str">
        <f>F17</f>
        <v/>
      </c>
      <c r="S17" s="817" t="str">
        <f>G17</f>
        <v/>
      </c>
      <c r="T17" s="196"/>
      <c r="U17" s="817"/>
      <c r="V17" s="817"/>
      <c r="W17" s="817"/>
      <c r="X17" s="817"/>
      <c r="Y17" s="817"/>
      <c r="Z17" s="595"/>
      <c r="AA17" s="595"/>
      <c r="AB17" s="595"/>
      <c r="AC17" s="595"/>
      <c r="AD17" s="595"/>
      <c r="AE17" s="595"/>
      <c r="AF17" s="595"/>
      <c r="AG17" s="595"/>
      <c r="AH17" s="595"/>
      <c r="AI17" s="595"/>
      <c r="AJ17" s="595"/>
      <c r="AK17" s="595"/>
      <c r="AL17" s="595"/>
      <c r="AM17" s="595"/>
    </row>
    <row r="18" spans="2:39">
      <c r="B18" s="1084"/>
      <c r="C18" s="1078"/>
      <c r="D18" s="1078"/>
      <c r="E18" s="1078"/>
      <c r="F18" s="1078"/>
      <c r="G18" s="1080"/>
      <c r="H18" s="195"/>
      <c r="I18" s="479"/>
      <c r="J18" s="479"/>
      <c r="K18" s="479"/>
      <c r="L18" s="479"/>
      <c r="M18" s="479"/>
      <c r="N18" s="195"/>
      <c r="O18" s="480"/>
      <c r="P18" s="480"/>
      <c r="Q18" s="480"/>
      <c r="R18" s="480"/>
      <c r="S18" s="480"/>
      <c r="T18" s="195"/>
      <c r="U18" s="480"/>
      <c r="V18" s="480"/>
      <c r="W18" s="480"/>
      <c r="X18" s="480"/>
      <c r="Y18" s="480"/>
    </row>
    <row r="19" spans="2:39" ht="15" customHeight="1">
      <c r="B19" s="821">
        <f ca="1">IF($C$9="",YEAR(TODAY()),$C$9)</f>
        <v>2013</v>
      </c>
      <c r="C19" s="822"/>
      <c r="D19" s="823"/>
      <c r="E19" s="823"/>
      <c r="F19" s="823"/>
      <c r="G19" s="654"/>
      <c r="H19" s="195"/>
      <c r="I19" s="466">
        <f>IF(C19&gt;0,C19,IF(SUM(C$19:C$38)&gt;0,AVERAGE(C$19:C$38),0))</f>
        <v>1359.9685374750991</v>
      </c>
      <c r="J19" s="466">
        <f t="shared" ref="J19:M34" si="0">IF(D19&gt;0,D19,IF(SUM(D$19:D$38)&gt;0,AVERAGE(D$19:D$38),0))</f>
        <v>3434.7222164472128</v>
      </c>
      <c r="K19" s="466">
        <f t="shared" si="0"/>
        <v>0</v>
      </c>
      <c r="L19" s="466">
        <f t="shared" si="0"/>
        <v>0</v>
      </c>
      <c r="M19" s="466">
        <f t="shared" si="0"/>
        <v>0</v>
      </c>
      <c r="N19" s="195"/>
      <c r="O19" s="195">
        <f>IF(I19&gt;0,LN(I19),0)</f>
        <v>7.2152168442530114</v>
      </c>
      <c r="P19" s="195">
        <f t="shared" ref="P19:S34" si="1">IF(J19&gt;0,LN(J19),0)</f>
        <v>8.1416913328120906</v>
      </c>
      <c r="Q19" s="195">
        <f t="shared" si="1"/>
        <v>0</v>
      </c>
      <c r="R19" s="195">
        <f t="shared" si="1"/>
        <v>0</v>
      </c>
      <c r="S19" s="195">
        <f t="shared" si="1"/>
        <v>0</v>
      </c>
      <c r="T19" s="195"/>
      <c r="U19" s="481"/>
      <c r="V19" s="481"/>
      <c r="W19" s="481"/>
      <c r="X19" s="481"/>
      <c r="Y19" s="481"/>
    </row>
    <row r="20" spans="2:39" ht="15" customHeight="1">
      <c r="B20" s="821">
        <f ca="1">B19-1</f>
        <v>2012</v>
      </c>
      <c r="C20" s="822">
        <v>1363.7694470937911</v>
      </c>
      <c r="D20" s="823">
        <v>3360.6529704332906</v>
      </c>
      <c r="E20" s="823"/>
      <c r="F20" s="823"/>
      <c r="G20" s="654"/>
      <c r="H20" s="195"/>
      <c r="I20" s="466">
        <f t="shared" ref="I20:M38" si="2">IF(C20&gt;0,C20,IF(SUM(C$19:C$38)&gt;0,AVERAGE(C$19:C$38),0))</f>
        <v>1363.7694470937911</v>
      </c>
      <c r="J20" s="466">
        <f t="shared" si="0"/>
        <v>3360.6529704332906</v>
      </c>
      <c r="K20" s="466">
        <f t="shared" si="0"/>
        <v>0</v>
      </c>
      <c r="L20" s="466">
        <f t="shared" si="0"/>
        <v>0</v>
      </c>
      <c r="M20" s="466">
        <f t="shared" si="0"/>
        <v>0</v>
      </c>
      <c r="N20" s="195"/>
      <c r="O20" s="195">
        <f t="shared" ref="O20:S38" si="3">IF(I20&gt;0,LN(I20),0)</f>
        <v>7.2180077970593866</v>
      </c>
      <c r="P20" s="195">
        <f t="shared" si="1"/>
        <v>8.1198905705148494</v>
      </c>
      <c r="Q20" s="195">
        <f t="shared" si="1"/>
        <v>0</v>
      </c>
      <c r="R20" s="195">
        <f t="shared" si="1"/>
        <v>0</v>
      </c>
      <c r="S20" s="195">
        <f t="shared" si="1"/>
        <v>0</v>
      </c>
      <c r="T20" s="195"/>
      <c r="U20" s="481"/>
      <c r="V20" s="481"/>
      <c r="W20" s="481"/>
      <c r="X20" s="481"/>
      <c r="Y20" s="481"/>
    </row>
    <row r="21" spans="2:39" ht="15" customHeight="1">
      <c r="B21" s="821">
        <f t="shared" ref="B21:B38" ca="1" si="4">B20-1</f>
        <v>2011</v>
      </c>
      <c r="C21" s="822">
        <v>1364.4521866231369</v>
      </c>
      <c r="D21" s="823">
        <v>3166.6550352612317</v>
      </c>
      <c r="E21" s="823"/>
      <c r="F21" s="823"/>
      <c r="G21" s="654"/>
      <c r="H21" s="195"/>
      <c r="I21" s="466">
        <f t="shared" si="2"/>
        <v>1364.4521866231369</v>
      </c>
      <c r="J21" s="466">
        <f t="shared" si="0"/>
        <v>3166.6550352612317</v>
      </c>
      <c r="K21" s="466">
        <f t="shared" si="0"/>
        <v>0</v>
      </c>
      <c r="L21" s="466">
        <f t="shared" si="0"/>
        <v>0</v>
      </c>
      <c r="M21" s="466">
        <f t="shared" si="0"/>
        <v>0</v>
      </c>
      <c r="N21" s="195"/>
      <c r="O21" s="195">
        <f t="shared" si="3"/>
        <v>7.2185082985840134</v>
      </c>
      <c r="P21" s="195">
        <f t="shared" si="1"/>
        <v>8.0604311158383766</v>
      </c>
      <c r="Q21" s="195">
        <f t="shared" si="1"/>
        <v>0</v>
      </c>
      <c r="R21" s="195">
        <f t="shared" si="1"/>
        <v>0</v>
      </c>
      <c r="S21" s="195">
        <f t="shared" si="1"/>
        <v>0</v>
      </c>
      <c r="T21" s="195"/>
      <c r="U21" s="481"/>
      <c r="V21" s="481"/>
      <c r="W21" s="481"/>
      <c r="X21" s="481"/>
      <c r="Y21" s="481"/>
    </row>
    <row r="22" spans="2:39" ht="15" customHeight="1">
      <c r="B22" s="821">
        <f t="shared" ca="1" si="4"/>
        <v>2010</v>
      </c>
      <c r="C22" s="822">
        <v>1367.742171725075</v>
      </c>
      <c r="D22" s="823">
        <v>3288.9339840213079</v>
      </c>
      <c r="E22" s="823"/>
      <c r="F22" s="823"/>
      <c r="G22" s="654"/>
      <c r="H22" s="195"/>
      <c r="I22" s="466">
        <f t="shared" si="2"/>
        <v>1367.742171725075</v>
      </c>
      <c r="J22" s="466">
        <f t="shared" si="0"/>
        <v>3288.9339840213079</v>
      </c>
      <c r="K22" s="466">
        <f t="shared" si="0"/>
        <v>0</v>
      </c>
      <c r="L22" s="466">
        <f t="shared" si="0"/>
        <v>0</v>
      </c>
      <c r="M22" s="466">
        <f t="shared" si="0"/>
        <v>0</v>
      </c>
      <c r="N22" s="195"/>
      <c r="O22" s="195">
        <f t="shared" si="3"/>
        <v>7.2209166094584099</v>
      </c>
      <c r="P22" s="195">
        <f t="shared" si="1"/>
        <v>8.0983187742397629</v>
      </c>
      <c r="Q22" s="195">
        <f t="shared" si="1"/>
        <v>0</v>
      </c>
      <c r="R22" s="195">
        <f t="shared" si="1"/>
        <v>0</v>
      </c>
      <c r="S22" s="195">
        <f t="shared" si="1"/>
        <v>0</v>
      </c>
      <c r="T22" s="195"/>
      <c r="U22" s="481"/>
      <c r="V22" s="481"/>
      <c r="W22" s="481"/>
      <c r="X22" s="481"/>
      <c r="Y22" s="481"/>
    </row>
    <row r="23" spans="2:39" ht="15" customHeight="1">
      <c r="B23" s="821">
        <f t="shared" ca="1" si="4"/>
        <v>2009</v>
      </c>
      <c r="C23" s="822">
        <v>1358.4026459464417</v>
      </c>
      <c r="D23" s="823">
        <v>3724.2699831322902</v>
      </c>
      <c r="E23" s="823"/>
      <c r="F23" s="823"/>
      <c r="G23" s="654"/>
      <c r="H23" s="195"/>
      <c r="I23" s="466">
        <f t="shared" si="2"/>
        <v>1358.4026459464417</v>
      </c>
      <c r="J23" s="466">
        <f t="shared" si="0"/>
        <v>3724.2699831322902</v>
      </c>
      <c r="K23" s="466">
        <f t="shared" si="0"/>
        <v>0</v>
      </c>
      <c r="L23" s="466">
        <f t="shared" si="0"/>
        <v>0</v>
      </c>
      <c r="M23" s="466">
        <f t="shared" si="0"/>
        <v>0</v>
      </c>
      <c r="N23" s="195"/>
      <c r="O23" s="195">
        <f t="shared" si="3"/>
        <v>7.2140647633956174</v>
      </c>
      <c r="P23" s="195">
        <f t="shared" si="1"/>
        <v>8.2226261339249174</v>
      </c>
      <c r="Q23" s="195">
        <f t="shared" si="1"/>
        <v>0</v>
      </c>
      <c r="R23" s="195">
        <f t="shared" si="1"/>
        <v>0</v>
      </c>
      <c r="S23" s="195">
        <f t="shared" si="1"/>
        <v>0</v>
      </c>
      <c r="T23" s="195"/>
      <c r="U23" s="481"/>
      <c r="V23" s="481"/>
      <c r="W23" s="481"/>
      <c r="X23" s="481"/>
      <c r="Y23" s="481"/>
    </row>
    <row r="24" spans="2:39" ht="15" customHeight="1">
      <c r="B24" s="821">
        <f t="shared" ca="1" si="4"/>
        <v>2008</v>
      </c>
      <c r="C24" s="822">
        <v>1321.8145926945576</v>
      </c>
      <c r="D24" s="823">
        <v>3477.3805165622521</v>
      </c>
      <c r="E24" s="823"/>
      <c r="F24" s="823"/>
      <c r="G24" s="654"/>
      <c r="H24" s="195"/>
      <c r="I24" s="466">
        <f t="shared" si="2"/>
        <v>1321.8145926945576</v>
      </c>
      <c r="J24" s="466">
        <f t="shared" si="0"/>
        <v>3477.3805165622521</v>
      </c>
      <c r="K24" s="466">
        <f t="shared" si="0"/>
        <v>0</v>
      </c>
      <c r="L24" s="466">
        <f t="shared" si="0"/>
        <v>0</v>
      </c>
      <c r="M24" s="466">
        <f t="shared" si="0"/>
        <v>0</v>
      </c>
      <c r="N24" s="195"/>
      <c r="O24" s="195">
        <f t="shared" si="3"/>
        <v>7.1867607629924777</v>
      </c>
      <c r="P24" s="195">
        <f t="shared" si="1"/>
        <v>8.154034564202929</v>
      </c>
      <c r="Q24" s="195">
        <f t="shared" si="1"/>
        <v>0</v>
      </c>
      <c r="R24" s="195">
        <f t="shared" si="1"/>
        <v>0</v>
      </c>
      <c r="S24" s="195">
        <f t="shared" si="1"/>
        <v>0</v>
      </c>
      <c r="T24" s="195"/>
      <c r="U24" s="481"/>
      <c r="V24" s="481"/>
      <c r="W24" s="481"/>
      <c r="X24" s="481"/>
      <c r="Y24" s="481"/>
    </row>
    <row r="25" spans="2:39" ht="15" customHeight="1">
      <c r="B25" s="821">
        <f t="shared" ca="1" si="4"/>
        <v>2007</v>
      </c>
      <c r="C25" s="822">
        <v>1383.6301807675911</v>
      </c>
      <c r="D25" s="823">
        <v>3590.4408092729054</v>
      </c>
      <c r="E25" s="823"/>
      <c r="F25" s="823"/>
      <c r="G25" s="654"/>
      <c r="H25" s="195"/>
      <c r="I25" s="466">
        <f t="shared" si="2"/>
        <v>1383.6301807675911</v>
      </c>
      <c r="J25" s="466">
        <f t="shared" si="0"/>
        <v>3590.4408092729054</v>
      </c>
      <c r="K25" s="466">
        <f t="shared" si="0"/>
        <v>0</v>
      </c>
      <c r="L25" s="466">
        <f t="shared" si="0"/>
        <v>0</v>
      </c>
      <c r="M25" s="466">
        <f t="shared" si="0"/>
        <v>0</v>
      </c>
      <c r="N25" s="195"/>
      <c r="O25" s="195">
        <f t="shared" si="3"/>
        <v>7.2324658900425067</v>
      </c>
      <c r="P25" s="195">
        <f t="shared" si="1"/>
        <v>8.1860302620427863</v>
      </c>
      <c r="Q25" s="195">
        <f t="shared" si="1"/>
        <v>0</v>
      </c>
      <c r="R25" s="195">
        <f t="shared" si="1"/>
        <v>0</v>
      </c>
      <c r="S25" s="195">
        <f t="shared" si="1"/>
        <v>0</v>
      </c>
      <c r="T25" s="195"/>
      <c r="U25" s="481"/>
      <c r="V25" s="481"/>
      <c r="W25" s="481"/>
      <c r="X25" s="481"/>
      <c r="Y25" s="481"/>
    </row>
    <row r="26" spans="2:39" ht="15" customHeight="1">
      <c r="B26" s="821">
        <f t="shared" ca="1" si="4"/>
        <v>2006</v>
      </c>
      <c r="C26" s="822"/>
      <c r="D26" s="823"/>
      <c r="E26" s="823"/>
      <c r="F26" s="823"/>
      <c r="G26" s="654"/>
      <c r="H26" s="195"/>
      <c r="I26" s="466">
        <f t="shared" si="2"/>
        <v>1359.9685374750991</v>
      </c>
      <c r="J26" s="466">
        <f t="shared" si="0"/>
        <v>3434.7222164472128</v>
      </c>
      <c r="K26" s="466">
        <f t="shared" si="0"/>
        <v>0</v>
      </c>
      <c r="L26" s="466">
        <f t="shared" si="0"/>
        <v>0</v>
      </c>
      <c r="M26" s="466">
        <f t="shared" si="0"/>
        <v>0</v>
      </c>
      <c r="N26" s="195"/>
      <c r="O26" s="195">
        <f t="shared" si="3"/>
        <v>7.2152168442530114</v>
      </c>
      <c r="P26" s="195">
        <f t="shared" si="1"/>
        <v>8.1416913328120906</v>
      </c>
      <c r="Q26" s="195">
        <f t="shared" si="1"/>
        <v>0</v>
      </c>
      <c r="R26" s="195">
        <f t="shared" si="1"/>
        <v>0</v>
      </c>
      <c r="S26" s="195">
        <f t="shared" si="1"/>
        <v>0</v>
      </c>
      <c r="T26" s="195"/>
      <c r="U26" s="481"/>
      <c r="V26" s="481"/>
      <c r="W26" s="481"/>
      <c r="X26" s="481"/>
      <c r="Y26" s="481"/>
    </row>
    <row r="27" spans="2:39" ht="15" customHeight="1">
      <c r="B27" s="821">
        <f t="shared" ca="1" si="4"/>
        <v>2005</v>
      </c>
      <c r="C27" s="822"/>
      <c r="D27" s="823"/>
      <c r="E27" s="823"/>
      <c r="F27" s="823"/>
      <c r="G27" s="654"/>
      <c r="H27" s="195"/>
      <c r="I27" s="466">
        <f t="shared" si="2"/>
        <v>1359.9685374750991</v>
      </c>
      <c r="J27" s="466">
        <f t="shared" si="0"/>
        <v>3434.7222164472128</v>
      </c>
      <c r="K27" s="466">
        <f t="shared" si="0"/>
        <v>0</v>
      </c>
      <c r="L27" s="466">
        <f t="shared" si="0"/>
        <v>0</v>
      </c>
      <c r="M27" s="466">
        <f t="shared" si="0"/>
        <v>0</v>
      </c>
      <c r="N27" s="195"/>
      <c r="O27" s="195">
        <f t="shared" si="3"/>
        <v>7.2152168442530114</v>
      </c>
      <c r="P27" s="195">
        <f t="shared" si="1"/>
        <v>8.1416913328120906</v>
      </c>
      <c r="Q27" s="195">
        <f t="shared" si="1"/>
        <v>0</v>
      </c>
      <c r="R27" s="195">
        <f t="shared" si="1"/>
        <v>0</v>
      </c>
      <c r="S27" s="195">
        <f t="shared" si="1"/>
        <v>0</v>
      </c>
      <c r="T27" s="195"/>
      <c r="U27" s="481"/>
      <c r="V27" s="481"/>
      <c r="W27" s="481"/>
      <c r="X27" s="481"/>
      <c r="Y27" s="481"/>
    </row>
    <row r="28" spans="2:39" ht="15" customHeight="1">
      <c r="B28" s="821">
        <f t="shared" ca="1" si="4"/>
        <v>2004</v>
      </c>
      <c r="C28" s="822"/>
      <c r="D28" s="823"/>
      <c r="E28" s="823"/>
      <c r="F28" s="823"/>
      <c r="G28" s="654"/>
      <c r="H28" s="195"/>
      <c r="I28" s="466">
        <f t="shared" si="2"/>
        <v>1359.9685374750991</v>
      </c>
      <c r="J28" s="466">
        <f t="shared" si="0"/>
        <v>3434.7222164472128</v>
      </c>
      <c r="K28" s="466">
        <f t="shared" si="0"/>
        <v>0</v>
      </c>
      <c r="L28" s="466">
        <f t="shared" si="0"/>
        <v>0</v>
      </c>
      <c r="M28" s="466">
        <f t="shared" si="0"/>
        <v>0</v>
      </c>
      <c r="N28" s="195"/>
      <c r="O28" s="195">
        <f t="shared" si="3"/>
        <v>7.2152168442530114</v>
      </c>
      <c r="P28" s="195">
        <f t="shared" si="1"/>
        <v>8.1416913328120906</v>
      </c>
      <c r="Q28" s="195">
        <f t="shared" si="1"/>
        <v>0</v>
      </c>
      <c r="R28" s="195">
        <f t="shared" si="1"/>
        <v>0</v>
      </c>
      <c r="S28" s="195">
        <f t="shared" si="1"/>
        <v>0</v>
      </c>
      <c r="T28" s="195"/>
      <c r="U28" s="481"/>
      <c r="V28" s="481"/>
      <c r="W28" s="481"/>
      <c r="X28" s="481"/>
      <c r="Y28" s="481"/>
    </row>
    <row r="29" spans="2:39" ht="15" customHeight="1">
      <c r="B29" s="821">
        <f t="shared" ca="1" si="4"/>
        <v>2003</v>
      </c>
      <c r="C29" s="822"/>
      <c r="D29" s="823"/>
      <c r="E29" s="823"/>
      <c r="F29" s="823"/>
      <c r="G29" s="654"/>
      <c r="H29" s="195"/>
      <c r="I29" s="466">
        <f t="shared" si="2"/>
        <v>1359.9685374750991</v>
      </c>
      <c r="J29" s="466">
        <f t="shared" si="0"/>
        <v>3434.7222164472128</v>
      </c>
      <c r="K29" s="466">
        <f t="shared" si="0"/>
        <v>0</v>
      </c>
      <c r="L29" s="466">
        <f t="shared" si="0"/>
        <v>0</v>
      </c>
      <c r="M29" s="466">
        <f t="shared" si="0"/>
        <v>0</v>
      </c>
      <c r="N29" s="195"/>
      <c r="O29" s="195">
        <f t="shared" si="3"/>
        <v>7.2152168442530114</v>
      </c>
      <c r="P29" s="195">
        <f t="shared" si="1"/>
        <v>8.1416913328120906</v>
      </c>
      <c r="Q29" s="195">
        <f t="shared" si="1"/>
        <v>0</v>
      </c>
      <c r="R29" s="195">
        <f t="shared" si="1"/>
        <v>0</v>
      </c>
      <c r="S29" s="195">
        <f t="shared" si="1"/>
        <v>0</v>
      </c>
      <c r="T29" s="195"/>
      <c r="U29" s="481"/>
      <c r="V29" s="481"/>
      <c r="W29" s="481"/>
      <c r="X29" s="481"/>
      <c r="Y29" s="481"/>
    </row>
    <row r="30" spans="2:39" ht="15" customHeight="1">
      <c r="B30" s="821">
        <f t="shared" ca="1" si="4"/>
        <v>2002</v>
      </c>
      <c r="C30" s="822"/>
      <c r="D30" s="823"/>
      <c r="E30" s="823"/>
      <c r="F30" s="823"/>
      <c r="G30" s="654"/>
      <c r="H30" s="195"/>
      <c r="I30" s="466">
        <f t="shared" si="2"/>
        <v>1359.9685374750991</v>
      </c>
      <c r="J30" s="466">
        <f t="shared" si="0"/>
        <v>3434.7222164472128</v>
      </c>
      <c r="K30" s="466">
        <f t="shared" si="0"/>
        <v>0</v>
      </c>
      <c r="L30" s="466">
        <f t="shared" si="0"/>
        <v>0</v>
      </c>
      <c r="M30" s="466">
        <f t="shared" si="0"/>
        <v>0</v>
      </c>
      <c r="N30" s="195"/>
      <c r="O30" s="195">
        <f t="shared" si="3"/>
        <v>7.2152168442530114</v>
      </c>
      <c r="P30" s="195">
        <f t="shared" si="1"/>
        <v>8.1416913328120906</v>
      </c>
      <c r="Q30" s="195">
        <f t="shared" si="1"/>
        <v>0</v>
      </c>
      <c r="R30" s="195">
        <f t="shared" si="1"/>
        <v>0</v>
      </c>
      <c r="S30" s="195">
        <f t="shared" si="1"/>
        <v>0</v>
      </c>
      <c r="T30" s="195"/>
      <c r="U30" s="481"/>
      <c r="V30" s="481"/>
      <c r="W30" s="481"/>
      <c r="X30" s="481"/>
      <c r="Y30" s="481"/>
    </row>
    <row r="31" spans="2:39" ht="15" customHeight="1">
      <c r="B31" s="821">
        <f t="shared" ca="1" si="4"/>
        <v>2001</v>
      </c>
      <c r="C31" s="822"/>
      <c r="D31" s="823"/>
      <c r="E31" s="823"/>
      <c r="F31" s="823"/>
      <c r="G31" s="654"/>
      <c r="H31" s="195"/>
      <c r="I31" s="466">
        <f t="shared" si="2"/>
        <v>1359.9685374750991</v>
      </c>
      <c r="J31" s="466">
        <f t="shared" si="0"/>
        <v>3434.7222164472128</v>
      </c>
      <c r="K31" s="466">
        <f t="shared" si="0"/>
        <v>0</v>
      </c>
      <c r="L31" s="466">
        <f t="shared" si="0"/>
        <v>0</v>
      </c>
      <c r="M31" s="466">
        <f t="shared" si="0"/>
        <v>0</v>
      </c>
      <c r="N31" s="195"/>
      <c r="O31" s="195">
        <f t="shared" si="3"/>
        <v>7.2152168442530114</v>
      </c>
      <c r="P31" s="195">
        <f t="shared" si="1"/>
        <v>8.1416913328120906</v>
      </c>
      <c r="Q31" s="195">
        <f t="shared" si="1"/>
        <v>0</v>
      </c>
      <c r="R31" s="195">
        <f t="shared" si="1"/>
        <v>0</v>
      </c>
      <c r="S31" s="195">
        <f t="shared" si="1"/>
        <v>0</v>
      </c>
      <c r="T31" s="195"/>
      <c r="U31" s="481"/>
      <c r="V31" s="481"/>
      <c r="W31" s="481"/>
      <c r="X31" s="481"/>
      <c r="Y31" s="481"/>
    </row>
    <row r="32" spans="2:39" ht="15" customHeight="1">
      <c r="B32" s="821">
        <f t="shared" ca="1" si="4"/>
        <v>2000</v>
      </c>
      <c r="C32" s="822"/>
      <c r="D32" s="823"/>
      <c r="E32" s="823"/>
      <c r="F32" s="823"/>
      <c r="G32" s="654"/>
      <c r="H32" s="195"/>
      <c r="I32" s="466">
        <f t="shared" si="2"/>
        <v>1359.9685374750991</v>
      </c>
      <c r="J32" s="466">
        <f t="shared" si="0"/>
        <v>3434.7222164472128</v>
      </c>
      <c r="K32" s="466">
        <f t="shared" si="0"/>
        <v>0</v>
      </c>
      <c r="L32" s="466">
        <f t="shared" si="0"/>
        <v>0</v>
      </c>
      <c r="M32" s="466">
        <f t="shared" si="0"/>
        <v>0</v>
      </c>
      <c r="N32" s="195"/>
      <c r="O32" s="195">
        <f t="shared" si="3"/>
        <v>7.2152168442530114</v>
      </c>
      <c r="P32" s="195">
        <f t="shared" si="1"/>
        <v>8.1416913328120906</v>
      </c>
      <c r="Q32" s="195">
        <f t="shared" si="1"/>
        <v>0</v>
      </c>
      <c r="R32" s="195">
        <f t="shared" si="1"/>
        <v>0</v>
      </c>
      <c r="S32" s="195">
        <f t="shared" si="1"/>
        <v>0</v>
      </c>
      <c r="T32" s="195"/>
      <c r="U32" s="481"/>
      <c r="V32" s="481"/>
      <c r="W32" s="481"/>
      <c r="X32" s="481"/>
      <c r="Y32" s="481"/>
    </row>
    <row r="33" spans="2:39" ht="15" customHeight="1">
      <c r="B33" s="821">
        <f t="shared" ca="1" si="4"/>
        <v>1999</v>
      </c>
      <c r="C33" s="822"/>
      <c r="D33" s="823"/>
      <c r="E33" s="823"/>
      <c r="F33" s="823"/>
      <c r="G33" s="654"/>
      <c r="H33" s="195"/>
      <c r="I33" s="466">
        <f t="shared" si="2"/>
        <v>1359.9685374750991</v>
      </c>
      <c r="J33" s="466">
        <f t="shared" si="0"/>
        <v>3434.7222164472128</v>
      </c>
      <c r="K33" s="466">
        <f t="shared" si="0"/>
        <v>0</v>
      </c>
      <c r="L33" s="466">
        <f t="shared" si="0"/>
        <v>0</v>
      </c>
      <c r="M33" s="466">
        <f t="shared" si="0"/>
        <v>0</v>
      </c>
      <c r="N33" s="195"/>
      <c r="O33" s="195">
        <f t="shared" si="3"/>
        <v>7.2152168442530114</v>
      </c>
      <c r="P33" s="195">
        <f t="shared" si="1"/>
        <v>8.1416913328120906</v>
      </c>
      <c r="Q33" s="195">
        <f t="shared" si="1"/>
        <v>0</v>
      </c>
      <c r="R33" s="195">
        <f t="shared" si="1"/>
        <v>0</v>
      </c>
      <c r="S33" s="195">
        <f t="shared" si="1"/>
        <v>0</v>
      </c>
      <c r="T33" s="195"/>
      <c r="U33" s="481"/>
      <c r="V33" s="481"/>
      <c r="W33" s="481"/>
      <c r="X33" s="481"/>
      <c r="Y33" s="481"/>
    </row>
    <row r="34" spans="2:39" ht="15" customHeight="1">
      <c r="B34" s="821">
        <f t="shared" ca="1" si="4"/>
        <v>1998</v>
      </c>
      <c r="C34" s="822"/>
      <c r="D34" s="823"/>
      <c r="E34" s="823"/>
      <c r="F34" s="823"/>
      <c r="G34" s="654"/>
      <c r="H34" s="195"/>
      <c r="I34" s="466">
        <f t="shared" si="2"/>
        <v>1359.9685374750991</v>
      </c>
      <c r="J34" s="466">
        <f t="shared" si="0"/>
        <v>3434.7222164472128</v>
      </c>
      <c r="K34" s="466">
        <f t="shared" si="0"/>
        <v>0</v>
      </c>
      <c r="L34" s="466">
        <f t="shared" si="0"/>
        <v>0</v>
      </c>
      <c r="M34" s="466">
        <f t="shared" si="0"/>
        <v>0</v>
      </c>
      <c r="N34" s="195"/>
      <c r="O34" s="195">
        <f t="shared" si="3"/>
        <v>7.2152168442530114</v>
      </c>
      <c r="P34" s="195">
        <f t="shared" si="1"/>
        <v>8.1416913328120906</v>
      </c>
      <c r="Q34" s="195">
        <f t="shared" si="1"/>
        <v>0</v>
      </c>
      <c r="R34" s="195">
        <f t="shared" si="1"/>
        <v>0</v>
      </c>
      <c r="S34" s="195">
        <f t="shared" si="1"/>
        <v>0</v>
      </c>
      <c r="T34" s="195"/>
      <c r="U34" s="481"/>
      <c r="V34" s="481"/>
      <c r="W34" s="481"/>
      <c r="X34" s="481"/>
      <c r="Y34" s="481"/>
    </row>
    <row r="35" spans="2:39" ht="15" customHeight="1">
      <c r="B35" s="821">
        <f t="shared" ca="1" si="4"/>
        <v>1997</v>
      </c>
      <c r="C35" s="822"/>
      <c r="D35" s="823"/>
      <c r="E35" s="823"/>
      <c r="F35" s="823"/>
      <c r="G35" s="654"/>
      <c r="H35" s="195"/>
      <c r="I35" s="466">
        <f t="shared" si="2"/>
        <v>1359.9685374750991</v>
      </c>
      <c r="J35" s="466">
        <f t="shared" si="2"/>
        <v>3434.7222164472128</v>
      </c>
      <c r="K35" s="466">
        <f t="shared" si="2"/>
        <v>0</v>
      </c>
      <c r="L35" s="466">
        <f t="shared" si="2"/>
        <v>0</v>
      </c>
      <c r="M35" s="466">
        <f t="shared" si="2"/>
        <v>0</v>
      </c>
      <c r="N35" s="195"/>
      <c r="O35" s="195">
        <f t="shared" si="3"/>
        <v>7.2152168442530114</v>
      </c>
      <c r="P35" s="195">
        <f t="shared" si="3"/>
        <v>8.1416913328120906</v>
      </c>
      <c r="Q35" s="195">
        <f t="shared" si="3"/>
        <v>0</v>
      </c>
      <c r="R35" s="195">
        <f t="shared" si="3"/>
        <v>0</v>
      </c>
      <c r="S35" s="195">
        <f t="shared" si="3"/>
        <v>0</v>
      </c>
      <c r="T35" s="195"/>
      <c r="U35" s="481"/>
      <c r="V35" s="481"/>
      <c r="W35" s="481"/>
      <c r="X35" s="481"/>
      <c r="Y35" s="481"/>
    </row>
    <row r="36" spans="2:39" ht="15" customHeight="1">
      <c r="B36" s="821">
        <f t="shared" ca="1" si="4"/>
        <v>1996</v>
      </c>
      <c r="C36" s="822"/>
      <c r="D36" s="823"/>
      <c r="E36" s="823"/>
      <c r="F36" s="823"/>
      <c r="G36" s="654"/>
      <c r="H36" s="195"/>
      <c r="I36" s="466">
        <f t="shared" si="2"/>
        <v>1359.9685374750991</v>
      </c>
      <c r="J36" s="466">
        <f t="shared" si="2"/>
        <v>3434.7222164472128</v>
      </c>
      <c r="K36" s="466">
        <f t="shared" si="2"/>
        <v>0</v>
      </c>
      <c r="L36" s="466">
        <f t="shared" si="2"/>
        <v>0</v>
      </c>
      <c r="M36" s="466">
        <f t="shared" si="2"/>
        <v>0</v>
      </c>
      <c r="N36" s="195"/>
      <c r="O36" s="195">
        <f t="shared" si="3"/>
        <v>7.2152168442530114</v>
      </c>
      <c r="P36" s="195">
        <f t="shared" si="3"/>
        <v>8.1416913328120906</v>
      </c>
      <c r="Q36" s="195">
        <f t="shared" si="3"/>
        <v>0</v>
      </c>
      <c r="R36" s="195">
        <f t="shared" si="3"/>
        <v>0</v>
      </c>
      <c r="S36" s="195">
        <f t="shared" si="3"/>
        <v>0</v>
      </c>
      <c r="T36" s="195"/>
      <c r="U36" s="481"/>
      <c r="V36" s="481"/>
      <c r="W36" s="481"/>
      <c r="X36" s="481"/>
      <c r="Y36" s="481"/>
    </row>
    <row r="37" spans="2:39" ht="15" customHeight="1">
      <c r="B37" s="821">
        <f t="shared" ca="1" si="4"/>
        <v>1995</v>
      </c>
      <c r="C37" s="822"/>
      <c r="D37" s="823"/>
      <c r="E37" s="823"/>
      <c r="F37" s="823"/>
      <c r="G37" s="654"/>
      <c r="H37" s="195"/>
      <c r="I37" s="466">
        <f t="shared" si="2"/>
        <v>1359.9685374750991</v>
      </c>
      <c r="J37" s="466">
        <f t="shared" si="2"/>
        <v>3434.7222164472128</v>
      </c>
      <c r="K37" s="466">
        <f t="shared" si="2"/>
        <v>0</v>
      </c>
      <c r="L37" s="466">
        <f t="shared" si="2"/>
        <v>0</v>
      </c>
      <c r="M37" s="466">
        <f t="shared" si="2"/>
        <v>0</v>
      </c>
      <c r="N37" s="195"/>
      <c r="O37" s="195">
        <f t="shared" si="3"/>
        <v>7.2152168442530114</v>
      </c>
      <c r="P37" s="195">
        <f t="shared" si="3"/>
        <v>8.1416913328120906</v>
      </c>
      <c r="Q37" s="195">
        <f t="shared" si="3"/>
        <v>0</v>
      </c>
      <c r="R37" s="195">
        <f t="shared" si="3"/>
        <v>0</v>
      </c>
      <c r="S37" s="195">
        <f t="shared" si="3"/>
        <v>0</v>
      </c>
      <c r="T37" s="195"/>
      <c r="U37" s="481"/>
      <c r="V37" s="481"/>
      <c r="W37" s="481"/>
      <c r="X37" s="481"/>
      <c r="Y37" s="481"/>
    </row>
    <row r="38" spans="2:39" ht="15" customHeight="1" thickBot="1">
      <c r="B38" s="181">
        <f t="shared" ca="1" si="4"/>
        <v>1994</v>
      </c>
      <c r="C38" s="824"/>
      <c r="D38" s="825"/>
      <c r="E38" s="825"/>
      <c r="F38" s="825"/>
      <c r="G38" s="826"/>
      <c r="H38" s="195"/>
      <c r="I38" s="466">
        <f t="shared" si="2"/>
        <v>1359.9685374750991</v>
      </c>
      <c r="J38" s="466">
        <f t="shared" si="2"/>
        <v>3434.7222164472128</v>
      </c>
      <c r="K38" s="466">
        <f t="shared" si="2"/>
        <v>0</v>
      </c>
      <c r="L38" s="466">
        <f t="shared" si="2"/>
        <v>0</v>
      </c>
      <c r="M38" s="466">
        <f t="shared" si="2"/>
        <v>0</v>
      </c>
      <c r="N38" s="195"/>
      <c r="O38" s="195">
        <f t="shared" si="3"/>
        <v>7.2152168442530114</v>
      </c>
      <c r="P38" s="195">
        <f t="shared" si="3"/>
        <v>8.1416913328120906</v>
      </c>
      <c r="Q38" s="195">
        <f t="shared" si="3"/>
        <v>0</v>
      </c>
      <c r="R38" s="195">
        <f t="shared" si="3"/>
        <v>0</v>
      </c>
      <c r="S38" s="195">
        <f t="shared" si="3"/>
        <v>0</v>
      </c>
      <c r="T38" s="195"/>
      <c r="U38" s="481"/>
      <c r="V38" s="481"/>
      <c r="W38" s="481"/>
      <c r="X38" s="481"/>
      <c r="Y38" s="481"/>
    </row>
    <row r="39" spans="2:39" ht="15" customHeight="1">
      <c r="B39" s="838"/>
      <c r="C39" s="803"/>
      <c r="D39" s="803"/>
      <c r="E39" s="803"/>
      <c r="F39" s="803"/>
      <c r="G39" s="804"/>
      <c r="H39" s="195"/>
      <c r="I39" s="195"/>
      <c r="J39" s="195"/>
      <c r="K39" s="195"/>
      <c r="L39" s="195"/>
      <c r="M39" s="195"/>
      <c r="N39" s="195"/>
      <c r="O39" s="195"/>
      <c r="P39" s="195"/>
      <c r="Q39" s="195"/>
      <c r="R39" s="195"/>
      <c r="S39" s="195"/>
      <c r="T39" s="195"/>
      <c r="U39" s="195"/>
      <c r="V39" s="195"/>
      <c r="W39" s="195"/>
    </row>
    <row r="40" spans="2:39" ht="15" customHeight="1">
      <c r="B40" s="814" t="s">
        <v>465</v>
      </c>
      <c r="C40" s="355"/>
      <c r="D40" s="355"/>
      <c r="E40" s="355"/>
      <c r="F40" s="355"/>
      <c r="G40" s="807"/>
      <c r="H40" s="195"/>
      <c r="I40" s="195"/>
      <c r="J40" s="195"/>
      <c r="K40" s="195"/>
      <c r="L40" s="195"/>
      <c r="M40" s="195"/>
      <c r="N40" s="195"/>
      <c r="O40" s="195"/>
      <c r="P40" s="195"/>
      <c r="Q40" s="195"/>
      <c r="R40" s="195"/>
      <c r="S40" s="195"/>
      <c r="T40" s="195"/>
      <c r="U40" s="195"/>
      <c r="V40" s="195"/>
      <c r="W40" s="195"/>
    </row>
    <row r="41" spans="2:39" ht="27" customHeight="1">
      <c r="B41" s="1018" t="s">
        <v>471</v>
      </c>
      <c r="C41" s="1019"/>
      <c r="D41" s="1019"/>
      <c r="E41" s="1019"/>
      <c r="F41" s="1019"/>
      <c r="G41" s="1020"/>
      <c r="H41" s="195"/>
      <c r="I41" s="195"/>
      <c r="J41" s="195"/>
      <c r="K41" s="195"/>
      <c r="L41" s="195"/>
      <c r="M41" s="195"/>
      <c r="N41" s="195"/>
      <c r="O41" s="195"/>
      <c r="P41" s="195"/>
      <c r="Q41" s="195"/>
      <c r="R41" s="195"/>
      <c r="S41" s="195"/>
      <c r="T41" s="195"/>
      <c r="U41" s="195"/>
      <c r="V41" s="195"/>
      <c r="W41" s="195"/>
      <c r="X41" s="195"/>
    </row>
    <row r="42" spans="2:39" ht="15" customHeight="1">
      <c r="B42" s="1091" t="s">
        <v>466</v>
      </c>
      <c r="C42" s="1092"/>
      <c r="D42" s="837" t="s">
        <v>233</v>
      </c>
      <c r="E42" s="355"/>
      <c r="F42" s="355"/>
      <c r="G42" s="807"/>
      <c r="H42" s="195"/>
      <c r="I42" s="195"/>
      <c r="J42" s="195"/>
      <c r="K42" s="195"/>
      <c r="L42" s="195"/>
      <c r="M42" s="195"/>
      <c r="N42" s="195"/>
      <c r="O42" s="195"/>
      <c r="P42" s="195"/>
      <c r="Q42" s="195"/>
      <c r="R42" s="195"/>
      <c r="S42" s="195"/>
      <c r="T42" s="195"/>
      <c r="U42" s="195"/>
      <c r="V42" s="195"/>
      <c r="W42" s="195"/>
      <c r="X42" s="195"/>
    </row>
    <row r="43" spans="2:39" ht="30" customHeight="1">
      <c r="B43" s="1088" t="s">
        <v>467</v>
      </c>
      <c r="C43" s="1089"/>
      <c r="D43" s="1089"/>
      <c r="E43" s="1089"/>
      <c r="F43" s="1089"/>
      <c r="G43" s="1090"/>
      <c r="H43" s="195"/>
      <c r="I43" s="195"/>
      <c r="J43" s="195"/>
      <c r="K43" s="195"/>
      <c r="L43" s="195"/>
      <c r="M43" s="195"/>
      <c r="N43" s="195"/>
      <c r="O43" s="195"/>
      <c r="P43" s="195"/>
      <c r="Q43" s="195"/>
      <c r="R43" s="195"/>
      <c r="S43" s="195"/>
      <c r="T43" s="195"/>
      <c r="U43" s="195"/>
      <c r="V43" s="195"/>
      <c r="W43" s="195"/>
      <c r="X43" s="195"/>
    </row>
    <row r="44" spans="2:39" ht="30" customHeight="1">
      <c r="B44" s="1088" t="s">
        <v>468</v>
      </c>
      <c r="C44" s="1089"/>
      <c r="D44" s="1089"/>
      <c r="E44" s="1089"/>
      <c r="F44" s="1089"/>
      <c r="G44" s="1090"/>
      <c r="H44" s="195"/>
      <c r="I44" s="195"/>
      <c r="J44" s="195"/>
      <c r="K44" s="195"/>
      <c r="L44" s="195"/>
      <c r="M44" s="195"/>
      <c r="N44" s="195"/>
      <c r="O44" s="195"/>
      <c r="P44" s="195"/>
      <c r="Q44" s="195"/>
      <c r="R44" s="195"/>
      <c r="S44" s="195"/>
      <c r="T44" s="195"/>
      <c r="U44" s="195"/>
      <c r="V44" s="195"/>
      <c r="W44" s="195"/>
      <c r="X44" s="195"/>
    </row>
    <row r="45" spans="2:39" ht="15" customHeight="1">
      <c r="B45" s="1088" t="s">
        <v>469</v>
      </c>
      <c r="C45" s="1089"/>
      <c r="D45" s="1089"/>
      <c r="E45" s="1089"/>
      <c r="F45" s="1089"/>
      <c r="G45" s="1090"/>
      <c r="H45" s="195"/>
      <c r="I45" s="195"/>
      <c r="J45" s="195"/>
      <c r="K45" s="195"/>
      <c r="L45" s="195"/>
      <c r="M45" s="195"/>
      <c r="N45" s="195"/>
      <c r="O45" s="195"/>
      <c r="P45" s="195"/>
      <c r="Q45" s="195"/>
      <c r="R45" s="195"/>
      <c r="S45" s="195"/>
      <c r="T45" s="195"/>
      <c r="U45" s="195"/>
      <c r="V45" s="195"/>
      <c r="W45" s="195"/>
      <c r="X45" s="195"/>
    </row>
    <row r="46" spans="2:39" ht="30" customHeight="1">
      <c r="B46" s="1088" t="s">
        <v>470</v>
      </c>
      <c r="C46" s="1089"/>
      <c r="D46" s="1089"/>
      <c r="E46" s="1089"/>
      <c r="F46" s="1089"/>
      <c r="G46" s="1090"/>
      <c r="H46" s="195"/>
      <c r="I46" s="195"/>
      <c r="J46" s="195"/>
      <c r="K46" s="195"/>
      <c r="L46" s="195"/>
      <c r="M46" s="195"/>
      <c r="N46" s="195"/>
      <c r="O46" s="195"/>
      <c r="P46" s="195"/>
      <c r="Q46" s="195"/>
      <c r="R46" s="195"/>
      <c r="S46" s="195"/>
      <c r="T46" s="195"/>
      <c r="U46" s="195"/>
      <c r="V46" s="195"/>
      <c r="W46" s="195"/>
      <c r="X46" s="195"/>
    </row>
    <row r="47" spans="2:39" ht="15" customHeight="1" thickBot="1">
      <c r="B47" s="812"/>
      <c r="C47" s="355"/>
      <c r="D47" s="355"/>
      <c r="E47" s="355"/>
      <c r="F47" s="355"/>
      <c r="G47" s="807"/>
      <c r="H47" s="195"/>
      <c r="I47" s="195"/>
      <c r="J47" s="195"/>
      <c r="K47" s="195"/>
      <c r="L47" s="195"/>
      <c r="M47" s="195"/>
      <c r="N47" s="195"/>
      <c r="O47" s="195"/>
      <c r="P47" s="195"/>
      <c r="Q47" s="195"/>
      <c r="R47" s="195"/>
      <c r="S47" s="195"/>
      <c r="T47" s="195"/>
      <c r="U47" s="195"/>
      <c r="V47" s="195"/>
      <c r="W47" s="195"/>
      <c r="X47" s="195"/>
    </row>
    <row r="48" spans="2:39" s="432" customFormat="1" ht="60">
      <c r="B48" s="834" t="s">
        <v>231</v>
      </c>
      <c r="C48" s="835" t="s">
        <v>422</v>
      </c>
      <c r="D48" s="835" t="s">
        <v>423</v>
      </c>
      <c r="E48" s="835" t="s">
        <v>472</v>
      </c>
      <c r="F48" s="836" t="s">
        <v>473</v>
      </c>
      <c r="G48" s="839"/>
      <c r="H48" s="482" t="str">
        <f>C48</f>
        <v>Mean Temperature (˚F)</v>
      </c>
      <c r="I48" s="482" t="str">
        <f t="shared" ref="I48:K48" si="5">D48</f>
        <v>Mean Max. Temperature (˚F)</v>
      </c>
      <c r="J48" s="482" t="str">
        <f t="shared" si="5"/>
        <v>Total Annual Precipitation (inches/year)</v>
      </c>
      <c r="K48" s="482" t="str">
        <f t="shared" si="5"/>
        <v>Mean Monthly Precipitation in April through September Only (inches/month)</v>
      </c>
      <c r="L48" s="482"/>
      <c r="M48" s="482"/>
      <c r="N48" s="482"/>
      <c r="O48" s="482"/>
      <c r="P48" s="482"/>
      <c r="Q48" s="482"/>
      <c r="R48" s="482"/>
      <c r="S48" s="482"/>
      <c r="T48" s="482"/>
      <c r="U48" s="482"/>
      <c r="V48" s="482"/>
      <c r="W48" s="482"/>
      <c r="X48" s="482"/>
      <c r="Y48" s="557"/>
      <c r="Z48" s="557"/>
      <c r="AA48" s="557"/>
      <c r="AB48" s="557"/>
      <c r="AC48" s="557"/>
      <c r="AD48" s="557"/>
      <c r="AE48" s="557"/>
      <c r="AF48" s="557"/>
      <c r="AG48" s="557"/>
      <c r="AH48" s="557"/>
      <c r="AI48" s="557"/>
      <c r="AJ48" s="557"/>
      <c r="AK48" s="557"/>
      <c r="AL48" s="557"/>
      <c r="AM48" s="557"/>
    </row>
    <row r="49" spans="2:24" ht="15" customHeight="1">
      <c r="B49" s="821">
        <f ca="1">IF($C$9="",YEAR(TODAY()),$C$9)</f>
        <v>2013</v>
      </c>
      <c r="C49" s="484"/>
      <c r="D49" s="484"/>
      <c r="E49" s="484"/>
      <c r="F49" s="488"/>
      <c r="G49" s="807"/>
      <c r="H49" s="195">
        <f>IF(C49&gt;0,C49,IF(SUM(C$49:C$68)&gt;0,AVERAGE(C$49:C$68),0))</f>
        <v>60.383333333333326</v>
      </c>
      <c r="I49" s="195">
        <f t="shared" ref="I49:K64" si="6">IF(D49&gt;0,D49,IF(SUM(D$49:D$68)&gt;0,AVERAGE(D$49:D$68),0))</f>
        <v>70.730555555555554</v>
      </c>
      <c r="J49" s="195">
        <f t="shared" si="6"/>
        <v>48.726666666666667</v>
      </c>
      <c r="K49" s="195">
        <f t="shared" si="6"/>
        <v>4.4749999999999996</v>
      </c>
      <c r="L49" s="195"/>
      <c r="M49" s="195"/>
      <c r="N49" s="195"/>
      <c r="O49" s="195"/>
      <c r="P49" s="195"/>
      <c r="Q49" s="195"/>
      <c r="R49" s="195"/>
      <c r="S49" s="195"/>
      <c r="T49" s="195"/>
      <c r="U49" s="195"/>
      <c r="V49" s="195"/>
      <c r="W49" s="195"/>
      <c r="X49" s="195"/>
    </row>
    <row r="50" spans="2:24" ht="15" customHeight="1">
      <c r="B50" s="821">
        <f ca="1">B49-1</f>
        <v>2012</v>
      </c>
      <c r="C50" s="486">
        <v>60.23333333333332</v>
      </c>
      <c r="D50" s="486">
        <v>71</v>
      </c>
      <c r="E50" s="486">
        <v>53.160000000000004</v>
      </c>
      <c r="F50" s="487">
        <v>5.1583333333333332</v>
      </c>
      <c r="G50" s="807"/>
      <c r="H50" s="195">
        <f t="shared" ref="H50:K68" si="7">IF(C50&gt;0,C50,IF(SUM(C$49:C$68)&gt;0,AVERAGE(C$49:C$68),0))</f>
        <v>60.23333333333332</v>
      </c>
      <c r="I50" s="195">
        <f t="shared" si="6"/>
        <v>71</v>
      </c>
      <c r="J50" s="195">
        <f t="shared" si="6"/>
        <v>53.160000000000004</v>
      </c>
      <c r="K50" s="195">
        <f t="shared" si="6"/>
        <v>5.1583333333333332</v>
      </c>
      <c r="L50" s="195"/>
      <c r="M50" s="195"/>
      <c r="N50" s="195"/>
      <c r="O50" s="195"/>
      <c r="P50" s="195"/>
      <c r="Q50" s="195"/>
      <c r="R50" s="195"/>
      <c r="S50" s="195"/>
      <c r="T50" s="195"/>
      <c r="U50" s="195"/>
      <c r="V50" s="195"/>
      <c r="W50" s="195"/>
      <c r="X50" s="195"/>
    </row>
    <row r="51" spans="2:24" ht="15" customHeight="1">
      <c r="B51" s="821">
        <f t="shared" ref="B51:B68" ca="1" si="8">B50-1</f>
        <v>2011</v>
      </c>
      <c r="C51" s="486">
        <v>58.574999999999996</v>
      </c>
      <c r="D51" s="486">
        <v>68.24166666666666</v>
      </c>
      <c r="E51" s="486">
        <v>65.690000000000012</v>
      </c>
      <c r="F51" s="487">
        <v>7.3533333333333326</v>
      </c>
      <c r="G51" s="807"/>
      <c r="H51" s="195">
        <f t="shared" si="7"/>
        <v>58.574999999999996</v>
      </c>
      <c r="I51" s="195">
        <f t="shared" si="6"/>
        <v>68.24166666666666</v>
      </c>
      <c r="J51" s="195">
        <f t="shared" si="6"/>
        <v>65.690000000000012</v>
      </c>
      <c r="K51" s="195">
        <f t="shared" si="6"/>
        <v>7.3533333333333326</v>
      </c>
      <c r="L51" s="195"/>
      <c r="M51" s="195"/>
      <c r="N51" s="195"/>
      <c r="O51" s="195"/>
      <c r="P51" s="195"/>
      <c r="Q51" s="195"/>
      <c r="R51" s="195"/>
      <c r="S51" s="195"/>
      <c r="T51" s="195"/>
      <c r="U51" s="195"/>
      <c r="V51" s="195"/>
      <c r="W51" s="195"/>
      <c r="X51" s="195"/>
    </row>
    <row r="52" spans="2:24" ht="15" customHeight="1">
      <c r="B52" s="821">
        <f t="shared" ca="1" si="8"/>
        <v>2010</v>
      </c>
      <c r="C52" s="486">
        <v>59.633333333333333</v>
      </c>
      <c r="D52" s="486">
        <v>69.95</v>
      </c>
      <c r="E52" s="486">
        <v>47.84</v>
      </c>
      <c r="F52" s="487">
        <v>3.9966666666666666</v>
      </c>
      <c r="G52" s="807"/>
      <c r="H52" s="195">
        <f t="shared" si="7"/>
        <v>59.633333333333333</v>
      </c>
      <c r="I52" s="195">
        <f t="shared" si="6"/>
        <v>69.95</v>
      </c>
      <c r="J52" s="195">
        <f t="shared" si="6"/>
        <v>47.84</v>
      </c>
      <c r="K52" s="195">
        <f t="shared" si="6"/>
        <v>3.9966666666666666</v>
      </c>
      <c r="L52" s="195"/>
      <c r="M52" s="195"/>
      <c r="N52" s="195"/>
      <c r="O52" s="195"/>
      <c r="P52" s="195"/>
      <c r="Q52" s="195"/>
      <c r="R52" s="195"/>
      <c r="S52" s="195"/>
      <c r="T52" s="195"/>
      <c r="U52" s="195"/>
      <c r="V52" s="195"/>
      <c r="W52" s="195"/>
      <c r="X52" s="195"/>
    </row>
    <row r="53" spans="2:24" ht="15" customHeight="1">
      <c r="B53" s="821">
        <f t="shared" ca="1" si="8"/>
        <v>2009</v>
      </c>
      <c r="C53" s="486">
        <v>61.44166666666667</v>
      </c>
      <c r="D53" s="486">
        <v>71.841666666666654</v>
      </c>
      <c r="E53" s="486">
        <v>47.620000000000005</v>
      </c>
      <c r="F53" s="487">
        <v>3.2983333333333333</v>
      </c>
      <c r="G53" s="807"/>
      <c r="H53" s="195">
        <f t="shared" si="7"/>
        <v>61.44166666666667</v>
      </c>
      <c r="I53" s="195">
        <f t="shared" si="6"/>
        <v>71.841666666666654</v>
      </c>
      <c r="J53" s="195">
        <f t="shared" si="6"/>
        <v>47.620000000000005</v>
      </c>
      <c r="K53" s="195">
        <f t="shared" si="6"/>
        <v>3.2983333333333333</v>
      </c>
      <c r="L53" s="195"/>
      <c r="M53" s="195"/>
      <c r="N53" s="195"/>
      <c r="O53" s="195"/>
      <c r="P53" s="195"/>
      <c r="Q53" s="195"/>
      <c r="R53" s="195"/>
      <c r="S53" s="195"/>
      <c r="T53" s="195"/>
      <c r="U53" s="195"/>
      <c r="V53" s="195"/>
      <c r="W53" s="195"/>
      <c r="X53" s="195"/>
    </row>
    <row r="54" spans="2:24" ht="15" customHeight="1">
      <c r="B54" s="821">
        <f t="shared" ca="1" si="8"/>
        <v>2008</v>
      </c>
      <c r="C54" s="486">
        <v>61.283333333333331</v>
      </c>
      <c r="D54" s="486">
        <v>71.916666666666671</v>
      </c>
      <c r="E54" s="486">
        <v>38.119999999999997</v>
      </c>
      <c r="F54" s="487">
        <v>3.3766666666666669</v>
      </c>
      <c r="G54" s="807"/>
      <c r="H54" s="195">
        <f t="shared" si="7"/>
        <v>61.283333333333331</v>
      </c>
      <c r="I54" s="195">
        <f t="shared" si="6"/>
        <v>71.916666666666671</v>
      </c>
      <c r="J54" s="195">
        <f t="shared" si="6"/>
        <v>38.119999999999997</v>
      </c>
      <c r="K54" s="195">
        <f t="shared" si="6"/>
        <v>3.3766666666666669</v>
      </c>
      <c r="L54" s="195"/>
      <c r="M54" s="195"/>
      <c r="N54" s="195"/>
      <c r="O54" s="195"/>
      <c r="P54" s="195"/>
      <c r="Q54" s="195"/>
      <c r="R54" s="195"/>
      <c r="S54" s="195"/>
      <c r="T54" s="195"/>
      <c r="U54" s="195"/>
      <c r="V54" s="195"/>
      <c r="W54" s="195"/>
      <c r="X54" s="195"/>
    </row>
    <row r="55" spans="2:24" ht="15" customHeight="1">
      <c r="B55" s="821">
        <f t="shared" ca="1" si="8"/>
        <v>2007</v>
      </c>
      <c r="C55" s="486">
        <v>61.133333333333347</v>
      </c>
      <c r="D55" s="486">
        <v>71.433333333333337</v>
      </c>
      <c r="E55" s="486">
        <v>39.93</v>
      </c>
      <c r="F55" s="487">
        <v>3.6666666666666665</v>
      </c>
      <c r="G55" s="807"/>
      <c r="H55" s="195">
        <f t="shared" si="7"/>
        <v>61.133333333333347</v>
      </c>
      <c r="I55" s="195">
        <f t="shared" si="6"/>
        <v>71.433333333333337</v>
      </c>
      <c r="J55" s="195">
        <f t="shared" si="6"/>
        <v>39.93</v>
      </c>
      <c r="K55" s="195">
        <f t="shared" si="6"/>
        <v>3.6666666666666665</v>
      </c>
      <c r="L55" s="195"/>
      <c r="M55" s="195"/>
      <c r="N55" s="195"/>
      <c r="O55" s="195"/>
      <c r="P55" s="195"/>
      <c r="Q55" s="195"/>
      <c r="R55" s="195"/>
      <c r="S55" s="195"/>
      <c r="T55" s="195"/>
      <c r="U55" s="195"/>
      <c r="V55" s="195"/>
      <c r="W55" s="195"/>
      <c r="X55" s="195"/>
    </row>
    <row r="56" spans="2:24" ht="15" customHeight="1">
      <c r="B56" s="821">
        <f t="shared" ca="1" si="8"/>
        <v>2006</v>
      </c>
      <c r="C56" s="484"/>
      <c r="D56" s="484"/>
      <c r="E56" s="484"/>
      <c r="F56" s="488"/>
      <c r="G56" s="807"/>
      <c r="H56" s="195">
        <f t="shared" si="7"/>
        <v>60.383333333333326</v>
      </c>
      <c r="I56" s="195">
        <f t="shared" si="6"/>
        <v>70.730555555555554</v>
      </c>
      <c r="J56" s="195">
        <f t="shared" si="6"/>
        <v>48.726666666666667</v>
      </c>
      <c r="K56" s="195">
        <f t="shared" si="6"/>
        <v>4.4749999999999996</v>
      </c>
      <c r="L56" s="195"/>
      <c r="M56" s="195"/>
      <c r="N56" s="195"/>
      <c r="O56" s="195"/>
      <c r="P56" s="195"/>
      <c r="Q56" s="195"/>
      <c r="R56" s="195"/>
      <c r="S56" s="195"/>
      <c r="T56" s="195"/>
      <c r="U56" s="195"/>
      <c r="V56" s="195"/>
      <c r="W56" s="195"/>
      <c r="X56" s="195"/>
    </row>
    <row r="57" spans="2:24" ht="15" customHeight="1">
      <c r="B57" s="821">
        <f t="shared" ca="1" si="8"/>
        <v>2005</v>
      </c>
      <c r="C57" s="484"/>
      <c r="D57" s="484"/>
      <c r="E57" s="484"/>
      <c r="F57" s="488"/>
      <c r="G57" s="807"/>
      <c r="H57" s="195">
        <f t="shared" si="7"/>
        <v>60.383333333333326</v>
      </c>
      <c r="I57" s="195">
        <f t="shared" si="6"/>
        <v>70.730555555555554</v>
      </c>
      <c r="J57" s="195">
        <f t="shared" si="6"/>
        <v>48.726666666666667</v>
      </c>
      <c r="K57" s="195">
        <f t="shared" si="6"/>
        <v>4.4749999999999996</v>
      </c>
      <c r="L57" s="195"/>
      <c r="M57" s="195"/>
      <c r="N57" s="195"/>
      <c r="O57" s="195"/>
      <c r="P57" s="195"/>
      <c r="Q57" s="195"/>
      <c r="R57" s="195"/>
      <c r="S57" s="195"/>
      <c r="T57" s="195"/>
      <c r="U57" s="195"/>
      <c r="V57" s="195"/>
      <c r="W57" s="195"/>
      <c r="X57" s="195"/>
    </row>
    <row r="58" spans="2:24" ht="15" customHeight="1">
      <c r="B58" s="821">
        <f t="shared" ca="1" si="8"/>
        <v>2004</v>
      </c>
      <c r="C58" s="484"/>
      <c r="D58" s="484"/>
      <c r="E58" s="484"/>
      <c r="F58" s="488"/>
      <c r="G58" s="807"/>
      <c r="H58" s="195">
        <f t="shared" si="7"/>
        <v>60.383333333333326</v>
      </c>
      <c r="I58" s="195">
        <f t="shared" si="6"/>
        <v>70.730555555555554</v>
      </c>
      <c r="J58" s="195">
        <f t="shared" si="6"/>
        <v>48.726666666666667</v>
      </c>
      <c r="K58" s="195">
        <f t="shared" si="6"/>
        <v>4.4749999999999996</v>
      </c>
      <c r="L58" s="195"/>
      <c r="M58" s="195"/>
      <c r="N58" s="195"/>
      <c r="O58" s="195"/>
      <c r="P58" s="195"/>
      <c r="Q58" s="195"/>
      <c r="R58" s="195"/>
      <c r="S58" s="195"/>
      <c r="T58" s="195"/>
      <c r="U58" s="195"/>
      <c r="V58" s="195"/>
      <c r="W58" s="195"/>
      <c r="X58" s="195"/>
    </row>
    <row r="59" spans="2:24" ht="15" customHeight="1">
      <c r="B59" s="821">
        <f t="shared" ca="1" si="8"/>
        <v>2003</v>
      </c>
      <c r="C59" s="484"/>
      <c r="D59" s="484"/>
      <c r="E59" s="484"/>
      <c r="F59" s="488"/>
      <c r="G59" s="807"/>
      <c r="H59" s="195">
        <f t="shared" si="7"/>
        <v>60.383333333333326</v>
      </c>
      <c r="I59" s="195">
        <f t="shared" si="6"/>
        <v>70.730555555555554</v>
      </c>
      <c r="J59" s="195">
        <f t="shared" si="6"/>
        <v>48.726666666666667</v>
      </c>
      <c r="K59" s="195">
        <f t="shared" si="6"/>
        <v>4.4749999999999996</v>
      </c>
      <c r="L59" s="195"/>
      <c r="M59" s="195"/>
      <c r="N59" s="195"/>
      <c r="O59" s="195"/>
      <c r="P59" s="195"/>
      <c r="Q59" s="195"/>
      <c r="R59" s="195"/>
      <c r="S59" s="195"/>
      <c r="T59" s="195"/>
      <c r="U59" s="195"/>
      <c r="V59" s="195"/>
      <c r="W59" s="195"/>
      <c r="X59" s="195"/>
    </row>
    <row r="60" spans="2:24" ht="15" customHeight="1">
      <c r="B60" s="821">
        <f t="shared" ca="1" si="8"/>
        <v>2002</v>
      </c>
      <c r="C60" s="484"/>
      <c r="D60" s="484"/>
      <c r="E60" s="484"/>
      <c r="F60" s="488"/>
      <c r="G60" s="807"/>
      <c r="H60" s="195">
        <f t="shared" si="7"/>
        <v>60.383333333333326</v>
      </c>
      <c r="I60" s="195">
        <f t="shared" si="6"/>
        <v>70.730555555555554</v>
      </c>
      <c r="J60" s="195">
        <f t="shared" si="6"/>
        <v>48.726666666666667</v>
      </c>
      <c r="K60" s="195">
        <f t="shared" si="6"/>
        <v>4.4749999999999996</v>
      </c>
      <c r="L60" s="195"/>
      <c r="M60" s="195"/>
      <c r="N60" s="195"/>
      <c r="O60" s="195"/>
      <c r="P60" s="195"/>
      <c r="Q60" s="195"/>
      <c r="R60" s="195"/>
      <c r="S60" s="195"/>
      <c r="T60" s="195"/>
      <c r="U60" s="195"/>
      <c r="V60" s="195"/>
      <c r="W60" s="195"/>
      <c r="X60" s="195"/>
    </row>
    <row r="61" spans="2:24" ht="15" customHeight="1">
      <c r="B61" s="821">
        <f t="shared" ca="1" si="8"/>
        <v>2001</v>
      </c>
      <c r="C61" s="484"/>
      <c r="D61" s="484"/>
      <c r="E61" s="484"/>
      <c r="F61" s="488"/>
      <c r="G61" s="807"/>
      <c r="H61" s="195">
        <f t="shared" si="7"/>
        <v>60.383333333333326</v>
      </c>
      <c r="I61" s="195">
        <f t="shared" si="6"/>
        <v>70.730555555555554</v>
      </c>
      <c r="J61" s="195">
        <f t="shared" si="6"/>
        <v>48.726666666666667</v>
      </c>
      <c r="K61" s="195">
        <f t="shared" si="6"/>
        <v>4.4749999999999996</v>
      </c>
      <c r="L61" s="195"/>
      <c r="M61" s="195"/>
      <c r="N61" s="195"/>
      <c r="O61" s="195"/>
      <c r="P61" s="195"/>
      <c r="Q61" s="195"/>
      <c r="R61" s="195"/>
      <c r="S61" s="195"/>
      <c r="T61" s="195"/>
      <c r="U61" s="195"/>
      <c r="V61" s="195"/>
      <c r="W61" s="195"/>
      <c r="X61" s="195"/>
    </row>
    <row r="62" spans="2:24" ht="15" customHeight="1">
      <c r="B62" s="821">
        <f t="shared" ca="1" si="8"/>
        <v>2000</v>
      </c>
      <c r="C62" s="484"/>
      <c r="D62" s="484"/>
      <c r="E62" s="484"/>
      <c r="F62" s="488"/>
      <c r="G62" s="807"/>
      <c r="H62" s="195">
        <f t="shared" si="7"/>
        <v>60.383333333333326</v>
      </c>
      <c r="I62" s="195">
        <f t="shared" si="6"/>
        <v>70.730555555555554</v>
      </c>
      <c r="J62" s="195">
        <f t="shared" si="6"/>
        <v>48.726666666666667</v>
      </c>
      <c r="K62" s="195">
        <f t="shared" si="6"/>
        <v>4.4749999999999996</v>
      </c>
      <c r="L62" s="195"/>
      <c r="M62" s="195"/>
      <c r="N62" s="195"/>
      <c r="O62" s="195"/>
      <c r="P62" s="195"/>
      <c r="Q62" s="195"/>
      <c r="R62" s="195"/>
      <c r="S62" s="195"/>
      <c r="T62" s="195"/>
      <c r="U62" s="195"/>
      <c r="V62" s="195"/>
      <c r="W62" s="195"/>
      <c r="X62" s="195"/>
    </row>
    <row r="63" spans="2:24" ht="15" customHeight="1">
      <c r="B63" s="821">
        <f t="shared" ca="1" si="8"/>
        <v>1999</v>
      </c>
      <c r="C63" s="484"/>
      <c r="D63" s="484"/>
      <c r="E63" s="484"/>
      <c r="F63" s="488"/>
      <c r="G63" s="807"/>
      <c r="H63" s="195">
        <f t="shared" si="7"/>
        <v>60.383333333333326</v>
      </c>
      <c r="I63" s="195">
        <f t="shared" si="6"/>
        <v>70.730555555555554</v>
      </c>
      <c r="J63" s="195">
        <f t="shared" si="6"/>
        <v>48.726666666666667</v>
      </c>
      <c r="K63" s="195">
        <f t="shared" si="6"/>
        <v>4.4749999999999996</v>
      </c>
      <c r="L63" s="195"/>
      <c r="M63" s="195"/>
      <c r="N63" s="195"/>
      <c r="O63" s="195"/>
      <c r="P63" s="195"/>
      <c r="Q63" s="195"/>
      <c r="R63" s="195"/>
      <c r="S63" s="195"/>
      <c r="T63" s="195"/>
      <c r="U63" s="195"/>
      <c r="V63" s="195"/>
      <c r="W63" s="195"/>
      <c r="X63" s="195"/>
    </row>
    <row r="64" spans="2:24" ht="15" customHeight="1">
      <c r="B64" s="821">
        <f t="shared" ca="1" si="8"/>
        <v>1998</v>
      </c>
      <c r="C64" s="484"/>
      <c r="D64" s="484"/>
      <c r="E64" s="484"/>
      <c r="F64" s="488"/>
      <c r="G64" s="807"/>
      <c r="H64" s="195">
        <f t="shared" si="7"/>
        <v>60.383333333333326</v>
      </c>
      <c r="I64" s="195">
        <f t="shared" si="6"/>
        <v>70.730555555555554</v>
      </c>
      <c r="J64" s="195">
        <f t="shared" si="6"/>
        <v>48.726666666666667</v>
      </c>
      <c r="K64" s="195">
        <f t="shared" si="6"/>
        <v>4.4749999999999996</v>
      </c>
      <c r="L64" s="195"/>
      <c r="M64" s="195"/>
      <c r="N64" s="195"/>
      <c r="O64" s="195"/>
      <c r="P64" s="195"/>
      <c r="Q64" s="195"/>
      <c r="R64" s="195"/>
      <c r="S64" s="195"/>
      <c r="T64" s="195"/>
      <c r="U64" s="195"/>
      <c r="V64" s="195"/>
      <c r="W64" s="195"/>
      <c r="X64" s="195"/>
    </row>
    <row r="65" spans="2:24" ht="15" customHeight="1">
      <c r="B65" s="821">
        <f t="shared" ca="1" si="8"/>
        <v>1997</v>
      </c>
      <c r="C65" s="484"/>
      <c r="D65" s="484"/>
      <c r="E65" s="484"/>
      <c r="F65" s="488"/>
      <c r="G65" s="807"/>
      <c r="H65" s="195">
        <f t="shared" si="7"/>
        <v>60.383333333333326</v>
      </c>
      <c r="I65" s="195">
        <f t="shared" si="7"/>
        <v>70.730555555555554</v>
      </c>
      <c r="J65" s="195">
        <f t="shared" si="7"/>
        <v>48.726666666666667</v>
      </c>
      <c r="K65" s="195">
        <f t="shared" si="7"/>
        <v>4.4749999999999996</v>
      </c>
      <c r="L65" s="195"/>
      <c r="M65" s="195"/>
      <c r="N65" s="195"/>
      <c r="O65" s="195"/>
      <c r="P65" s="195"/>
      <c r="Q65" s="195"/>
      <c r="R65" s="195"/>
      <c r="S65" s="195"/>
      <c r="T65" s="195"/>
      <c r="U65" s="195"/>
      <c r="V65" s="195"/>
      <c r="W65" s="195"/>
      <c r="X65" s="195"/>
    </row>
    <row r="66" spans="2:24" ht="15" customHeight="1">
      <c r="B66" s="821">
        <f t="shared" ca="1" si="8"/>
        <v>1996</v>
      </c>
      <c r="C66" s="484"/>
      <c r="D66" s="484"/>
      <c r="E66" s="484"/>
      <c r="F66" s="488"/>
      <c r="G66" s="807"/>
      <c r="H66" s="195">
        <f t="shared" si="7"/>
        <v>60.383333333333326</v>
      </c>
      <c r="I66" s="195">
        <f t="shared" si="7"/>
        <v>70.730555555555554</v>
      </c>
      <c r="J66" s="195">
        <f t="shared" si="7"/>
        <v>48.726666666666667</v>
      </c>
      <c r="K66" s="195">
        <f t="shared" si="7"/>
        <v>4.4749999999999996</v>
      </c>
      <c r="L66" s="195"/>
      <c r="M66" s="195"/>
      <c r="N66" s="195"/>
      <c r="O66" s="195"/>
      <c r="P66" s="195"/>
      <c r="Q66" s="195"/>
      <c r="R66" s="195"/>
      <c r="S66" s="195"/>
      <c r="T66" s="195"/>
      <c r="U66" s="195"/>
      <c r="V66" s="195"/>
      <c r="W66" s="195"/>
      <c r="X66" s="195"/>
    </row>
    <row r="67" spans="2:24" ht="15" customHeight="1">
      <c r="B67" s="821">
        <f t="shared" ca="1" si="8"/>
        <v>1995</v>
      </c>
      <c r="C67" s="484"/>
      <c r="D67" s="484"/>
      <c r="E67" s="484"/>
      <c r="F67" s="488"/>
      <c r="G67" s="807"/>
      <c r="H67" s="195">
        <f t="shared" si="7"/>
        <v>60.383333333333326</v>
      </c>
      <c r="I67" s="195">
        <f t="shared" si="7"/>
        <v>70.730555555555554</v>
      </c>
      <c r="J67" s="195">
        <f t="shared" si="7"/>
        <v>48.726666666666667</v>
      </c>
      <c r="K67" s="195">
        <f t="shared" si="7"/>
        <v>4.4749999999999996</v>
      </c>
      <c r="L67" s="195"/>
      <c r="M67" s="195"/>
      <c r="N67" s="195"/>
      <c r="O67" s="195"/>
      <c r="P67" s="195"/>
      <c r="Q67" s="195"/>
      <c r="R67" s="195"/>
      <c r="S67" s="195"/>
      <c r="T67" s="195"/>
      <c r="U67" s="195"/>
      <c r="V67" s="195"/>
      <c r="W67" s="195"/>
      <c r="X67" s="195"/>
    </row>
    <row r="68" spans="2:24" ht="15" customHeight="1" thickBot="1">
      <c r="B68" s="181">
        <f t="shared" ca="1" si="8"/>
        <v>1994</v>
      </c>
      <c r="C68" s="485"/>
      <c r="D68" s="485"/>
      <c r="E68" s="485"/>
      <c r="F68" s="489"/>
      <c r="G68" s="807"/>
      <c r="H68" s="195">
        <f t="shared" si="7"/>
        <v>60.383333333333326</v>
      </c>
      <c r="I68" s="195">
        <f t="shared" si="7"/>
        <v>70.730555555555554</v>
      </c>
      <c r="J68" s="195">
        <f t="shared" si="7"/>
        <v>48.726666666666667</v>
      </c>
      <c r="K68" s="195">
        <f t="shared" si="7"/>
        <v>4.4749999999999996</v>
      </c>
      <c r="L68" s="195"/>
      <c r="M68" s="195"/>
      <c r="N68" s="195"/>
      <c r="O68" s="195"/>
      <c r="P68" s="195"/>
      <c r="Q68" s="195"/>
      <c r="R68" s="195"/>
      <c r="S68" s="195"/>
      <c r="T68" s="195"/>
      <c r="U68" s="195"/>
      <c r="V68" s="195"/>
      <c r="W68" s="195"/>
      <c r="X68" s="195"/>
    </row>
    <row r="69" spans="2:24" ht="15" customHeight="1" thickBot="1">
      <c r="B69" s="840"/>
      <c r="C69" s="841"/>
      <c r="D69" s="841"/>
      <c r="E69" s="841"/>
      <c r="F69" s="841"/>
      <c r="G69" s="842"/>
      <c r="H69" s="195"/>
      <c r="I69" s="195"/>
      <c r="J69" s="195"/>
      <c r="K69" s="195"/>
      <c r="L69" s="195"/>
      <c r="M69" s="195"/>
      <c r="N69" s="195"/>
      <c r="O69" s="195"/>
      <c r="P69" s="195"/>
      <c r="Q69" s="195"/>
      <c r="R69" s="195"/>
      <c r="S69" s="195"/>
      <c r="T69" s="195"/>
      <c r="U69" s="195"/>
      <c r="V69" s="195"/>
      <c r="W69" s="195"/>
      <c r="X69" s="195"/>
    </row>
    <row r="70" spans="2:24" ht="15" customHeight="1" thickBot="1">
      <c r="G70" s="129"/>
      <c r="H70" s="195"/>
      <c r="I70" s="195"/>
      <c r="J70" s="195"/>
      <c r="K70" s="195"/>
      <c r="L70" s="195"/>
      <c r="M70" s="195"/>
      <c r="N70" s="195"/>
      <c r="O70" s="195"/>
      <c r="P70" s="195"/>
      <c r="Q70" s="195"/>
      <c r="R70" s="195"/>
      <c r="S70" s="195"/>
      <c r="T70" s="195"/>
      <c r="U70" s="195"/>
      <c r="V70" s="195"/>
      <c r="W70" s="195"/>
      <c r="X70" s="195"/>
    </row>
    <row r="71" spans="2:24" ht="15" hidden="1" customHeight="1">
      <c r="B71" s="437" t="s">
        <v>238</v>
      </c>
      <c r="C71" s="129" t="str">
        <f>C48</f>
        <v>Mean Temperature (˚F)</v>
      </c>
      <c r="D71" s="129" t="str">
        <f t="shared" ref="D71:F71" si="9">D48</f>
        <v>Mean Max. Temperature (˚F)</v>
      </c>
      <c r="E71" s="129" t="str">
        <f t="shared" si="9"/>
        <v>Total Annual Precipitation (inches/year)</v>
      </c>
      <c r="F71" s="129" t="str">
        <f t="shared" si="9"/>
        <v>Mean Monthly Precipitation in April through September Only (inches/month)</v>
      </c>
      <c r="G71" s="129"/>
      <c r="H71" s="480" t="s">
        <v>237</v>
      </c>
      <c r="I71" s="195" t="s">
        <v>239</v>
      </c>
      <c r="J71" s="195" t="s">
        <v>240</v>
      </c>
      <c r="K71" s="195" t="s">
        <v>241</v>
      </c>
      <c r="L71" s="466" t="s">
        <v>258</v>
      </c>
      <c r="M71" s="195" t="s">
        <v>242</v>
      </c>
      <c r="N71" s="195"/>
      <c r="O71" s="195"/>
      <c r="P71" s="195"/>
      <c r="Q71" s="195"/>
      <c r="R71" s="195"/>
      <c r="S71" s="195"/>
      <c r="T71" s="195"/>
      <c r="U71" s="195"/>
      <c r="V71" s="195"/>
      <c r="W71" s="195"/>
      <c r="X71" s="195"/>
    </row>
    <row r="72" spans="2:24" ht="15" hidden="1" customHeight="1">
      <c r="B72" s="436" t="str">
        <f t="array" ref="B72:B76">TRANSPOSE(C17:G17)</f>
        <v>0 - 2000 gallons/month</v>
      </c>
      <c r="C72" s="129">
        <f>IFERROR(ABS(CORREL($C19:$C38,C$49:C$68)),0)</f>
        <v>0.28285026678786185</v>
      </c>
      <c r="D72" s="129">
        <f>IFERROR(ABS(CORREL($C19:$C38,D$49:D$68)),0)</f>
        <v>0.32017444928050365</v>
      </c>
      <c r="E72" s="129">
        <f>IFERROR(ABS(CORREL($C19:$C38,E$49:E$68)),0)</f>
        <v>0.27677624642067555</v>
      </c>
      <c r="F72" s="129">
        <f>IFERROR(ABS(CORREL($C19:$C38,F$49:F$68)),0)</f>
        <v>0.22651674212714035</v>
      </c>
      <c r="G72" s="129"/>
      <c r="H72" s="480">
        <f>MAX(C72:F72)</f>
        <v>0.32017444928050365</v>
      </c>
      <c r="I72" s="195" t="str">
        <f>IF(H72=0,"NA",HLOOKUP(H72,C72:F$77,6,FALSE))</f>
        <v>Mean Max. Temperature (˚F)</v>
      </c>
      <c r="J72" s="195">
        <f>IF(I72="NA","NA",HLOOKUP(I72,$C$80:$F$85,2,FALSE))</f>
        <v>-3.4758085781182052E-3</v>
      </c>
      <c r="K72" s="195">
        <f>ROUND(J72*100,3)</f>
        <v>-0.34799999999999998</v>
      </c>
      <c r="L72" s="466">
        <f>IF(E117="",K72,E117*100)</f>
        <v>-0.34799999999999998</v>
      </c>
      <c r="M72" s="195" t="str">
        <f>IF(J72="NA","",HLOOKUP(I72,$C$80:$F$86,7,FALSE)&amp;"average residential monthly demand between "&amp;B72&amp;IF(L72&lt;0," DECREASES by about ",IF(L72&gt;=0," INCREASES by about ",""))&amp;ROUND(ABS(L72),1)&amp;"%, on average.")</f>
        <v>For every 1˚F increase in the average monthly maximum temperature, average residential monthly demand between 0 - 2000 gallons/month DECREASES by about 0.3%, on average.</v>
      </c>
      <c r="N72" s="195"/>
      <c r="O72" s="195"/>
      <c r="P72" s="195"/>
      <c r="Q72" s="195"/>
      <c r="R72" s="195"/>
      <c r="S72" s="195"/>
      <c r="T72" s="195"/>
      <c r="U72" s="195"/>
      <c r="V72" s="195"/>
      <c r="W72" s="195"/>
      <c r="X72" s="195"/>
    </row>
    <row r="73" spans="2:24" ht="15" hidden="1" customHeight="1">
      <c r="B73" s="436" t="str">
        <v>2001 gallons/month onwards</v>
      </c>
      <c r="C73" s="129">
        <f>IFERROR(ABS(CORREL($D19:$D38,C$49:C$68)),0)</f>
        <v>0.92731595771054898</v>
      </c>
      <c r="D73" s="129">
        <f>IFERROR(ABS(CORREL($D19:$D38,D$49:D$68)),0)</f>
        <v>0.86016058230135173</v>
      </c>
      <c r="E73" s="129">
        <f>IFERROR(ABS(CORREL($D19:$D38,E$49:E$68)),0)</f>
        <v>0.67518399645308036</v>
      </c>
      <c r="F73" s="129">
        <f>IFERROR(ABS(CORREL($D19:$D38,F$49:F$68)),0)</f>
        <v>0.79289471032530356</v>
      </c>
      <c r="G73" s="129"/>
      <c r="H73" s="480">
        <f t="shared" ref="H73:H76" si="10">MAX(C73:F73)</f>
        <v>0.92731595771054898</v>
      </c>
      <c r="I73" s="195" t="str">
        <f>IF(H73=0,"NA",HLOOKUP(H73,C73:F$77,5,FALSE))</f>
        <v>Mean Temperature (˚F)</v>
      </c>
      <c r="J73" s="195">
        <f>IF(I73="NA","NA",HLOOKUP(I73,$C$80:$F$85,3,FALSE))</f>
        <v>4.9272524917564967E-2</v>
      </c>
      <c r="K73" s="195">
        <f t="shared" ref="K73:K76" si="11">ROUND(J73*100,3)</f>
        <v>4.9269999999999996</v>
      </c>
      <c r="L73" s="466">
        <f t="shared" ref="L73:L76" si="12">IF(E118="",K73,E118*100)</f>
        <v>4.9269999999999996</v>
      </c>
      <c r="M73" s="195" t="str">
        <f t="shared" ref="M73:M76" si="13">IF(J73="NA","",HLOOKUP(I73,$C$80:$F$86,7,FALSE)&amp;"average residential monthly demand between "&amp;B73&amp;IF(L73&lt;0," DECREASES by about ",IF(L73&gt;=0," INCREASES by about ",""))&amp;ROUND(ABS(L73),1)&amp;"%, on average.")</f>
        <v>For every 1˚F increase in mean temperature throughout the year, average residential monthly demand between 2001 gallons/month onwards INCREASES by about 4.9%, on average.</v>
      </c>
      <c r="N73" s="195"/>
      <c r="O73" s="195"/>
      <c r="P73" s="195"/>
      <c r="Q73" s="195"/>
      <c r="R73" s="195"/>
      <c r="S73" s="195"/>
      <c r="T73" s="195"/>
      <c r="U73" s="195"/>
      <c r="V73" s="195"/>
      <c r="W73" s="195"/>
      <c r="X73" s="195"/>
    </row>
    <row r="74" spans="2:24" ht="15" hidden="1" customHeight="1">
      <c r="B74" s="436" t="str">
        <v/>
      </c>
      <c r="C74" s="129">
        <f>IFERROR(ABS(CORREL($E19:$E38,C$49:C$68)),0)</f>
        <v>0</v>
      </c>
      <c r="D74" s="129">
        <f>IFERROR(ABS(CORREL($E19:$E38,D$49:D$68)),0)</f>
        <v>0</v>
      </c>
      <c r="E74" s="129">
        <f>IFERROR(ABS(CORREL($E19:$E38,E$49:E$68)),0)</f>
        <v>0</v>
      </c>
      <c r="F74" s="129">
        <f>IFERROR(ABS(CORREL($E19:$E38,F$49:F$68)),0)</f>
        <v>0</v>
      </c>
      <c r="G74" s="129"/>
      <c r="H74" s="480">
        <f t="shared" si="10"/>
        <v>0</v>
      </c>
      <c r="I74" s="195" t="str">
        <f>IF(H74=0,"NA",HLOOKUP(H74,C74:F$77,4,FALSE))</f>
        <v>NA</v>
      </c>
      <c r="J74" s="195" t="str">
        <f>IF(I74="NA","NA",HLOOKUP(I74,$C$80:$F$85,4,FALSE))</f>
        <v>NA</v>
      </c>
      <c r="K74" s="195" t="e">
        <f t="shared" si="11"/>
        <v>#VALUE!</v>
      </c>
      <c r="L74" s="466" t="e">
        <f t="shared" si="12"/>
        <v>#VALUE!</v>
      </c>
      <c r="M74" s="195" t="str">
        <f t="shared" si="13"/>
        <v/>
      </c>
      <c r="N74" s="195"/>
      <c r="O74" s="195"/>
      <c r="P74" s="195"/>
      <c r="Q74" s="195"/>
      <c r="R74" s="195"/>
      <c r="S74" s="195"/>
      <c r="T74" s="195"/>
      <c r="U74" s="195"/>
      <c r="V74" s="195"/>
      <c r="W74" s="195"/>
      <c r="X74" s="195"/>
    </row>
    <row r="75" spans="2:24" ht="15" hidden="1" customHeight="1">
      <c r="B75" s="436" t="str">
        <v/>
      </c>
      <c r="C75" s="129">
        <f>IFERROR(ABS(CORREL($F19:$F38,C$49:C$68)),0)</f>
        <v>0</v>
      </c>
      <c r="D75" s="129">
        <f>IFERROR(ABS(CORREL($F19:$F38,D$49:D$68)),0)</f>
        <v>0</v>
      </c>
      <c r="E75" s="129">
        <f>IFERROR(ABS(CORREL($F19:$F38,E$49:E$68)),0)</f>
        <v>0</v>
      </c>
      <c r="F75" s="129">
        <f>IFERROR(ABS(CORREL($F19:$F38,F$49:F$68)),0)</f>
        <v>0</v>
      </c>
      <c r="G75" s="129"/>
      <c r="H75" s="480">
        <f t="shared" si="10"/>
        <v>0</v>
      </c>
      <c r="I75" s="195" t="str">
        <f>IF(H75=0,"NA",HLOOKUP(H75,C75:F$77,3,FALSE))</f>
        <v>NA</v>
      </c>
      <c r="J75" s="195" t="str">
        <f>IF(I75="NA","NA",HLOOKUP(I75,$C$80:$F$85,5,FALSE))</f>
        <v>NA</v>
      </c>
      <c r="K75" s="195" t="e">
        <f>ROUND(J75*100,3)</f>
        <v>#VALUE!</v>
      </c>
      <c r="L75" s="466" t="e">
        <f t="shared" si="12"/>
        <v>#VALUE!</v>
      </c>
      <c r="M75" s="195" t="str">
        <f t="shared" si="13"/>
        <v/>
      </c>
      <c r="N75" s="195"/>
      <c r="O75" s="195"/>
      <c r="P75" s="195"/>
      <c r="Q75" s="195"/>
      <c r="R75" s="195"/>
      <c r="S75" s="195"/>
      <c r="T75" s="195"/>
      <c r="U75" s="195"/>
      <c r="V75" s="195"/>
      <c r="W75" s="195"/>
      <c r="X75" s="195"/>
    </row>
    <row r="76" spans="2:24" ht="15" hidden="1" customHeight="1">
      <c r="B76" s="436" t="str">
        <v/>
      </c>
      <c r="C76" s="129">
        <f>IFERROR(ABS(CORREL($G19:$G38,C$49:C$68)),0)</f>
        <v>0</v>
      </c>
      <c r="D76" s="129">
        <f>IFERROR(ABS(CORREL($G19:$G38,D$49:D$68)),0)</f>
        <v>0</v>
      </c>
      <c r="E76" s="129">
        <f>IFERROR(ABS(CORREL($G19:$G38,E$49:E$68)),0)</f>
        <v>0</v>
      </c>
      <c r="F76" s="129">
        <f>IFERROR(ABS(CORREL($G19:$G38,F$49:F$68)),0)</f>
        <v>0</v>
      </c>
      <c r="G76" s="129"/>
      <c r="H76" s="480">
        <f t="shared" si="10"/>
        <v>0</v>
      </c>
      <c r="I76" s="195" t="str">
        <f>IF(H76=0,"NA",HLOOKUP(H76,C76:F$77,2,FALSE))</f>
        <v>NA</v>
      </c>
      <c r="J76" s="195" t="str">
        <f>IF(I76="NA","NA",HLOOKUP(I76,$C$80:$F$85,6,FALSE))</f>
        <v>NA</v>
      </c>
      <c r="K76" s="195" t="e">
        <f t="shared" si="11"/>
        <v>#VALUE!</v>
      </c>
      <c r="L76" s="466" t="e">
        <f t="shared" si="12"/>
        <v>#VALUE!</v>
      </c>
      <c r="M76" s="195" t="str">
        <f t="shared" si="13"/>
        <v/>
      </c>
      <c r="N76" s="195"/>
      <c r="O76" s="195"/>
      <c r="P76" s="195"/>
      <c r="Q76" s="195"/>
      <c r="R76" s="195"/>
      <c r="S76" s="195"/>
      <c r="T76" s="195"/>
      <c r="U76" s="195"/>
      <c r="V76" s="195"/>
      <c r="W76" s="195"/>
      <c r="X76" s="195"/>
    </row>
    <row r="77" spans="2:24" ht="15" hidden="1" customHeight="1">
      <c r="C77" s="129" t="str">
        <f>C71</f>
        <v>Mean Temperature (˚F)</v>
      </c>
      <c r="D77" s="129" t="str">
        <f t="shared" ref="D77:F77" si="14">D71</f>
        <v>Mean Max. Temperature (˚F)</v>
      </c>
      <c r="E77" s="129" t="str">
        <f t="shared" si="14"/>
        <v>Total Annual Precipitation (inches/year)</v>
      </c>
      <c r="F77" s="129" t="str">
        <f t="shared" si="14"/>
        <v>Mean Monthly Precipitation in April through September Only (inches/month)</v>
      </c>
      <c r="G77" s="129"/>
      <c r="H77" s="195"/>
      <c r="I77" s="195"/>
      <c r="J77" s="195"/>
      <c r="K77" s="195"/>
      <c r="L77" s="195"/>
      <c r="M77" s="195" t="s">
        <v>259</v>
      </c>
      <c r="N77" s="195"/>
      <c r="O77" s="195"/>
      <c r="P77" s="195"/>
      <c r="Q77" s="195"/>
      <c r="R77" s="195"/>
      <c r="S77" s="195"/>
      <c r="T77" s="195"/>
      <c r="U77" s="195"/>
      <c r="V77" s="195"/>
      <c r="W77" s="195"/>
      <c r="X77" s="195"/>
    </row>
    <row r="78" spans="2:24" ht="15" hidden="1" customHeight="1">
      <c r="G78" s="129"/>
      <c r="H78" s="195"/>
      <c r="I78" s="195"/>
      <c r="J78" s="195"/>
      <c r="K78" s="195"/>
      <c r="L78" s="195">
        <f>IF(E117="",0.4,E117*100)</f>
        <v>0.4</v>
      </c>
      <c r="M78" s="195" t="str">
        <f>"For every 1˚F increase in the average monthly maximum temperature, average residential monthly demand "&amp;IF(L78&lt;0," DECREASES by about ",IF(L78&gt;=0," INCREASES by about ",""))&amp;ABS(L78)&amp;"%, on average."</f>
        <v>For every 1˚F increase in the average monthly maximum temperature, average residential monthly demand  INCREASES by about 0.4%, on average.</v>
      </c>
      <c r="N78" s="195"/>
      <c r="O78" s="195"/>
      <c r="P78" s="195"/>
      <c r="Q78" s="195"/>
      <c r="R78" s="195"/>
      <c r="S78" s="195"/>
      <c r="T78" s="195"/>
      <c r="U78" s="195"/>
      <c r="V78" s="195"/>
      <c r="W78" s="195"/>
      <c r="X78" s="195"/>
    </row>
    <row r="79" spans="2:24" ht="15" hidden="1" customHeight="1">
      <c r="G79" s="129"/>
      <c r="H79" s="195"/>
      <c r="I79" s="195"/>
      <c r="J79" s="195"/>
      <c r="K79" s="195"/>
      <c r="L79" s="195">
        <f>IF(E118="",-0.6,E118*100)</f>
        <v>-0.6</v>
      </c>
      <c r="M79" s="195" t="str">
        <f>"For every additional 1 inch of precipitation throughout the year, average residential monthly demand "&amp;IF(L79&lt;0," DECREASES by about ",IF(L79&gt;=0," INCREASES by about ",""))&amp;ABS(L79)&amp;"%, on average."</f>
        <v>For every additional 1 inch of precipitation throughout the year, average residential monthly demand  DECREASES by about 0.6%, on average.</v>
      </c>
      <c r="N79" s="195"/>
      <c r="O79" s="195"/>
      <c r="P79" s="195"/>
      <c r="Q79" s="195"/>
      <c r="R79" s="195"/>
      <c r="S79" s="195"/>
      <c r="T79" s="195"/>
      <c r="U79" s="195"/>
      <c r="V79" s="195"/>
      <c r="W79" s="195"/>
      <c r="X79" s="195"/>
    </row>
    <row r="80" spans="2:24" ht="15" hidden="1" customHeight="1">
      <c r="B80" s="437" t="s">
        <v>235</v>
      </c>
      <c r="C80" s="129" t="str">
        <f>C48</f>
        <v>Mean Temperature (˚F)</v>
      </c>
      <c r="D80" s="129" t="str">
        <f t="shared" ref="D80:F80" si="15">D48</f>
        <v>Mean Max. Temperature (˚F)</v>
      </c>
      <c r="E80" s="129" t="str">
        <f t="shared" si="15"/>
        <v>Total Annual Precipitation (inches/year)</v>
      </c>
      <c r="F80" s="129" t="str">
        <f t="shared" si="15"/>
        <v>Mean Monthly Precipitation in April through September Only (inches/month)</v>
      </c>
      <c r="G80" s="129"/>
      <c r="H80" s="195"/>
      <c r="I80" s="195"/>
      <c r="J80" s="195"/>
      <c r="K80" s="195"/>
      <c r="L80" s="195"/>
      <c r="M80" s="195"/>
      <c r="N80" s="195"/>
      <c r="O80" s="195"/>
      <c r="P80" s="195"/>
      <c r="Q80" s="195"/>
      <c r="R80" s="195"/>
      <c r="S80" s="195"/>
      <c r="T80" s="195"/>
      <c r="U80" s="195"/>
      <c r="V80" s="195"/>
      <c r="W80" s="195"/>
      <c r="X80" s="195"/>
    </row>
    <row r="81" spans="2:24" ht="15" hidden="1" customHeight="1">
      <c r="B81" s="436" t="str">
        <f t="array" ref="B81:B85">TRANSPOSE(C17:G17)</f>
        <v>0 - 2000 gallons/month</v>
      </c>
      <c r="C81" s="129">
        <f>INDEX(LINEST($O19:$O38,H$49:H$68),1,1)</f>
        <v>-3.8657661853271417E-3</v>
      </c>
      <c r="D81" s="129">
        <f>INDEX(LINEST($O19:$O38,I$49:I$68),1,1)</f>
        <v>-3.4758085781182052E-3</v>
      </c>
      <c r="E81" s="129">
        <f>INDEX(LINEST($O19:$O38,J$49:J$68),1,1)</f>
        <v>4.2963614429447172E-4</v>
      </c>
      <c r="F81" s="129">
        <f>INDEX(LINEST($O19:$O38,K$49:K$68),1,1)</f>
        <v>2.2349233247094861E-3</v>
      </c>
      <c r="G81" s="129"/>
      <c r="H81" s="195"/>
      <c r="I81" s="195"/>
      <c r="J81" s="195"/>
      <c r="K81" s="195"/>
      <c r="L81" s="195"/>
      <c r="M81" s="195"/>
      <c r="N81" s="195"/>
      <c r="O81" s="195"/>
      <c r="P81" s="195"/>
      <c r="Q81" s="195"/>
      <c r="R81" s="195"/>
      <c r="S81" s="195"/>
      <c r="T81" s="195"/>
      <c r="U81" s="195"/>
      <c r="V81" s="195"/>
      <c r="W81" s="195"/>
      <c r="X81" s="195"/>
    </row>
    <row r="82" spans="2:24" ht="15" hidden="1" customHeight="1">
      <c r="B82" s="436" t="str">
        <v>2001 gallons/month onwards</v>
      </c>
      <c r="C82" s="129">
        <f>INDEX(LINEST($P19:$P38,H$49:H$68),1,1)</f>
        <v>4.9272524917564967E-2</v>
      </c>
      <c r="D82" s="129">
        <f>INDEX(LINEST($P19:$P38,I$49:I$68),1,1)</f>
        <v>3.655268307698091E-2</v>
      </c>
      <c r="E82" s="129">
        <f>INDEX(LINEST($P19:$P38,J$49:J$68),1,1)</f>
        <v>-4.1000383598222799E-3</v>
      </c>
      <c r="F82" s="129">
        <f>INDEX(LINEST($P19:$P38,K$49:K$68),1,1)</f>
        <v>-3.0485122182213883E-2</v>
      </c>
      <c r="G82" s="129"/>
      <c r="H82" s="195"/>
      <c r="I82" s="195"/>
      <c r="J82" s="195"/>
      <c r="K82" s="195"/>
      <c r="L82" s="195"/>
      <c r="M82" s="195"/>
      <c r="N82" s="195"/>
      <c r="O82" s="195"/>
      <c r="P82" s="195"/>
      <c r="Q82" s="195"/>
      <c r="R82" s="195"/>
      <c r="S82" s="195"/>
      <c r="T82" s="195"/>
      <c r="U82" s="195"/>
      <c r="V82" s="195"/>
      <c r="W82" s="195"/>
      <c r="X82" s="195"/>
    </row>
    <row r="83" spans="2:24" ht="15" hidden="1" customHeight="1">
      <c r="B83" s="436" t="str">
        <v/>
      </c>
      <c r="C83" s="129">
        <f>INDEX(LINEST($Q19:$Q38,H$49:H$68),1,1)</f>
        <v>0</v>
      </c>
      <c r="D83" s="129">
        <f>INDEX(LINEST($Q19:$Q38,I$49:I$68),1,1)</f>
        <v>0</v>
      </c>
      <c r="E83" s="129">
        <f>INDEX(LINEST($Q19:$Q38,J$49:J$68),1,1)</f>
        <v>0</v>
      </c>
      <c r="F83" s="129">
        <f>INDEX(LINEST($Q19:$Q38,K$49:K$68),1,1)</f>
        <v>0</v>
      </c>
      <c r="G83" s="129"/>
      <c r="H83" s="195"/>
      <c r="I83" s="195"/>
      <c r="J83" s="195"/>
      <c r="K83" s="195"/>
      <c r="L83" s="195"/>
      <c r="M83" s="195"/>
      <c r="N83" s="195"/>
      <c r="O83" s="195"/>
      <c r="P83" s="195"/>
      <c r="Q83" s="195"/>
      <c r="R83" s="195"/>
      <c r="S83" s="195"/>
      <c r="T83" s="195"/>
      <c r="U83" s="195"/>
      <c r="V83" s="195"/>
      <c r="W83" s="195"/>
      <c r="X83" s="195"/>
    </row>
    <row r="84" spans="2:24" ht="15" hidden="1" customHeight="1">
      <c r="B84" s="436" t="str">
        <v/>
      </c>
      <c r="C84" s="129">
        <f>INDEX(LINEST($R19:$R38,H$49:H$68),1,1)</f>
        <v>0</v>
      </c>
      <c r="D84" s="129">
        <f>INDEX(LINEST($R19:$R38,I$49:I$68),1,1)</f>
        <v>0</v>
      </c>
      <c r="E84" s="129">
        <f>INDEX(LINEST($R19:$R38,J$49:J$68),1,1)</f>
        <v>0</v>
      </c>
      <c r="F84" s="129">
        <f>INDEX(LINEST($R19:$R38,K$49:K$68),1,1)</f>
        <v>0</v>
      </c>
      <c r="G84" s="129"/>
      <c r="H84" s="195"/>
      <c r="I84" s="195"/>
      <c r="J84" s="195"/>
      <c r="K84" s="195"/>
      <c r="L84" s="195"/>
      <c r="M84" s="195"/>
      <c r="N84" s="195"/>
      <c r="O84" s="195"/>
      <c r="P84" s="195"/>
      <c r="Q84" s="195"/>
      <c r="R84" s="195"/>
      <c r="S84" s="195"/>
      <c r="T84" s="195"/>
      <c r="U84" s="195"/>
      <c r="V84" s="195"/>
      <c r="W84" s="195"/>
      <c r="X84" s="195"/>
    </row>
    <row r="85" spans="2:24" ht="15" hidden="1" customHeight="1">
      <c r="B85" s="436" t="str">
        <v/>
      </c>
      <c r="C85" s="129">
        <f>INDEX(LINEST($S19:$S38,H$49:H$68),1,1)</f>
        <v>0</v>
      </c>
      <c r="D85" s="129">
        <f>INDEX(LINEST($S19:$S38,I$49:I$68),1,1)</f>
        <v>0</v>
      </c>
      <c r="E85" s="129">
        <f>INDEX(LINEST($S19:$S38,J$49:J$68),1,1)</f>
        <v>0</v>
      </c>
      <c r="F85" s="129">
        <f>INDEX(LINEST($S19:$S38,K$49:K$68),1,1)</f>
        <v>0</v>
      </c>
      <c r="G85" s="129"/>
      <c r="H85" s="195"/>
      <c r="I85" s="195"/>
      <c r="J85" s="195"/>
      <c r="K85" s="195"/>
      <c r="L85" s="195"/>
      <c r="M85" s="195"/>
      <c r="N85" s="195"/>
      <c r="O85" s="195"/>
      <c r="P85" s="195"/>
      <c r="Q85" s="195"/>
      <c r="R85" s="195"/>
      <c r="S85" s="195"/>
      <c r="T85" s="195"/>
      <c r="U85" s="195"/>
      <c r="V85" s="195"/>
      <c r="W85" s="195"/>
      <c r="X85" s="195"/>
    </row>
    <row r="86" spans="2:24" ht="15" hidden="1" customHeight="1">
      <c r="B86" s="129" t="s">
        <v>242</v>
      </c>
      <c r="C86" s="129" t="s">
        <v>475</v>
      </c>
      <c r="D86" s="129" t="s">
        <v>476</v>
      </c>
      <c r="E86" s="129" t="s">
        <v>243</v>
      </c>
      <c r="F86" s="129" t="s">
        <v>244</v>
      </c>
      <c r="G86" s="129"/>
      <c r="H86" s="195"/>
      <c r="I86" s="195"/>
      <c r="J86" s="195"/>
      <c r="K86" s="195"/>
      <c r="L86" s="195"/>
      <c r="M86" s="195"/>
      <c r="N86" s="195"/>
      <c r="O86" s="195"/>
      <c r="P86" s="195"/>
      <c r="Q86" s="195"/>
      <c r="R86" s="195"/>
      <c r="S86" s="195"/>
      <c r="T86" s="195"/>
      <c r="U86" s="195"/>
      <c r="V86" s="195"/>
      <c r="W86" s="195"/>
      <c r="X86" s="195"/>
    </row>
    <row r="87" spans="2:24" ht="15" hidden="1" customHeight="1">
      <c r="G87" s="129"/>
      <c r="H87" s="195"/>
      <c r="I87" s="195"/>
      <c r="J87" s="195"/>
      <c r="K87" s="195"/>
      <c r="L87" s="195"/>
      <c r="M87" s="195"/>
      <c r="N87" s="195"/>
      <c r="O87" s="195"/>
      <c r="P87" s="195"/>
      <c r="Q87" s="195"/>
      <c r="R87" s="195"/>
      <c r="S87" s="195"/>
      <c r="T87" s="195"/>
      <c r="U87" s="195"/>
      <c r="V87" s="195"/>
      <c r="W87" s="195"/>
      <c r="X87" s="195"/>
    </row>
    <row r="88" spans="2:24" ht="15" hidden="1" customHeight="1">
      <c r="G88" s="129"/>
      <c r="H88" s="195"/>
      <c r="I88" s="195"/>
      <c r="J88" s="195"/>
      <c r="K88" s="195"/>
      <c r="L88" s="195"/>
      <c r="M88" s="195"/>
      <c r="N88" s="195"/>
      <c r="O88" s="195"/>
      <c r="P88" s="195"/>
      <c r="Q88" s="195"/>
      <c r="R88" s="195"/>
      <c r="S88" s="195"/>
      <c r="T88" s="195"/>
      <c r="U88" s="195"/>
      <c r="V88" s="195"/>
      <c r="W88" s="195"/>
      <c r="X88" s="195"/>
    </row>
    <row r="89" spans="2:24" ht="15" hidden="1" customHeight="1">
      <c r="B89" s="129" t="s">
        <v>245</v>
      </c>
      <c r="C89" s="129" t="str">
        <f>C17</f>
        <v>0 - 2000 gallons/month</v>
      </c>
      <c r="D89" s="129" t="str">
        <f>D17</f>
        <v>2001 gallons/month onwards</v>
      </c>
      <c r="E89" s="129" t="str">
        <f>E17</f>
        <v/>
      </c>
      <c r="F89" s="129" t="str">
        <f>F17</f>
        <v/>
      </c>
      <c r="G89" s="129" t="str">
        <f>G17</f>
        <v/>
      </c>
      <c r="H89" s="195"/>
      <c r="I89" s="195"/>
      <c r="J89" s="195"/>
      <c r="K89" s="195"/>
      <c r="L89" s="195"/>
      <c r="M89" s="195"/>
      <c r="N89" s="195"/>
      <c r="O89" s="195"/>
      <c r="P89" s="195"/>
      <c r="Q89" s="195"/>
      <c r="R89" s="195"/>
      <c r="S89" s="195"/>
      <c r="T89" s="195"/>
      <c r="U89" s="195"/>
      <c r="V89" s="195"/>
      <c r="W89" s="195"/>
      <c r="X89" s="195"/>
    </row>
    <row r="90" spans="2:24" ht="15" hidden="1" customHeight="1">
      <c r="B90" s="129">
        <f ca="1">B49</f>
        <v>2013</v>
      </c>
      <c r="C90" s="815">
        <f>IFERROR(HLOOKUP($I$72,$C$48:$F$68,ROW(C49)-ROW($C$48)+1,FALSE),"")</f>
        <v>0</v>
      </c>
      <c r="D90" s="815">
        <f t="shared" ref="D90:D109" si="16">IFERROR(HLOOKUP($I$73,$C$48:$F$68,ROW(D49)-ROW($C$48)+1,FALSE),"")</f>
        <v>0</v>
      </c>
      <c r="E90" s="815" t="str">
        <f t="shared" ref="E90:E109" si="17">IFERROR(HLOOKUP($I$74,$C$48:$F$68,ROW(E49)-ROW($C$48)+1,FALSE),"")</f>
        <v/>
      </c>
      <c r="F90" s="815" t="str">
        <f t="shared" ref="F90:F109" si="18">IFERROR(HLOOKUP($I$75,$C$48:$F$68,ROW(F49)-ROW($C$48)+1,FALSE),"")</f>
        <v/>
      </c>
      <c r="G90" s="815" t="str">
        <f t="shared" ref="G90:G109" si="19">IFERROR(HLOOKUP($I$76,$C$48:$F$68,ROW(G49)-ROW($C$48)+1,FALSE),"")</f>
        <v/>
      </c>
      <c r="H90" s="195"/>
      <c r="I90" s="195"/>
      <c r="J90" s="195"/>
      <c r="K90" s="195"/>
      <c r="L90" s="195"/>
      <c r="M90" s="195"/>
      <c r="N90" s="195"/>
      <c r="O90" s="195"/>
      <c r="P90" s="195"/>
      <c r="Q90" s="195"/>
      <c r="R90" s="195"/>
      <c r="S90" s="195"/>
      <c r="T90" s="195"/>
      <c r="U90" s="195"/>
      <c r="V90" s="195"/>
      <c r="W90" s="195"/>
      <c r="X90" s="195"/>
    </row>
    <row r="91" spans="2:24" ht="15" hidden="1" customHeight="1">
      <c r="B91" s="129">
        <f t="shared" ref="B91:B109" ca="1" si="20">B50</f>
        <v>2012</v>
      </c>
      <c r="C91" s="815">
        <f t="shared" ref="C91:C109" si="21">IFERROR(HLOOKUP($I$72,$C$48:$F$68,ROW(C50)-ROW($C$48)+1,FALSE),"")</f>
        <v>71</v>
      </c>
      <c r="D91" s="815">
        <f t="shared" si="16"/>
        <v>60.23333333333332</v>
      </c>
      <c r="E91" s="815" t="str">
        <f t="shared" si="17"/>
        <v/>
      </c>
      <c r="F91" s="815" t="str">
        <f t="shared" si="18"/>
        <v/>
      </c>
      <c r="G91" s="815" t="str">
        <f t="shared" si="19"/>
        <v/>
      </c>
      <c r="H91" s="195"/>
      <c r="I91" s="195"/>
      <c r="J91" s="195"/>
      <c r="K91" s="195"/>
      <c r="L91" s="195"/>
      <c r="M91" s="195"/>
      <c r="N91" s="195"/>
      <c r="O91" s="195"/>
      <c r="P91" s="195"/>
      <c r="Q91" s="195"/>
      <c r="R91" s="195"/>
      <c r="S91" s="195"/>
      <c r="T91" s="195"/>
      <c r="U91" s="195"/>
      <c r="V91" s="195"/>
      <c r="W91" s="195"/>
      <c r="X91" s="195"/>
    </row>
    <row r="92" spans="2:24" ht="15" hidden="1" customHeight="1">
      <c r="B92" s="129">
        <f t="shared" ca="1" si="20"/>
        <v>2011</v>
      </c>
      <c r="C92" s="815">
        <f t="shared" si="21"/>
        <v>68.24166666666666</v>
      </c>
      <c r="D92" s="815">
        <f t="shared" si="16"/>
        <v>58.574999999999996</v>
      </c>
      <c r="E92" s="815" t="str">
        <f t="shared" si="17"/>
        <v/>
      </c>
      <c r="F92" s="815" t="str">
        <f t="shared" si="18"/>
        <v/>
      </c>
      <c r="G92" s="815" t="str">
        <f t="shared" si="19"/>
        <v/>
      </c>
      <c r="H92" s="195"/>
      <c r="I92" s="195"/>
      <c r="J92" s="195"/>
      <c r="K92" s="195"/>
      <c r="L92" s="195"/>
      <c r="M92" s="195"/>
      <c r="N92" s="195"/>
      <c r="O92" s="195"/>
      <c r="P92" s="195"/>
      <c r="Q92" s="195"/>
      <c r="R92" s="195"/>
      <c r="S92" s="195"/>
      <c r="T92" s="195"/>
      <c r="U92" s="195"/>
      <c r="V92" s="195"/>
      <c r="W92" s="195"/>
      <c r="X92" s="195"/>
    </row>
    <row r="93" spans="2:24" ht="15" hidden="1" customHeight="1">
      <c r="B93" s="129">
        <f t="shared" ca="1" si="20"/>
        <v>2010</v>
      </c>
      <c r="C93" s="815">
        <f t="shared" si="21"/>
        <v>69.95</v>
      </c>
      <c r="D93" s="815">
        <f t="shared" si="16"/>
        <v>59.633333333333333</v>
      </c>
      <c r="E93" s="815" t="str">
        <f t="shared" si="17"/>
        <v/>
      </c>
      <c r="F93" s="815" t="str">
        <f t="shared" si="18"/>
        <v/>
      </c>
      <c r="G93" s="815" t="str">
        <f t="shared" si="19"/>
        <v/>
      </c>
      <c r="H93" s="195"/>
      <c r="I93" s="195"/>
      <c r="J93" s="195"/>
      <c r="K93" s="195"/>
      <c r="L93" s="195"/>
      <c r="M93" s="195"/>
      <c r="N93" s="195"/>
      <c r="O93" s="195"/>
      <c r="P93" s="195"/>
      <c r="Q93" s="195"/>
      <c r="R93" s="195"/>
      <c r="S93" s="195"/>
      <c r="T93" s="195"/>
      <c r="U93" s="195"/>
      <c r="V93" s="195"/>
      <c r="W93" s="195"/>
      <c r="X93" s="195"/>
    </row>
    <row r="94" spans="2:24" ht="15" hidden="1" customHeight="1">
      <c r="B94" s="129">
        <f t="shared" ca="1" si="20"/>
        <v>2009</v>
      </c>
      <c r="C94" s="815">
        <f t="shared" si="21"/>
        <v>71.841666666666654</v>
      </c>
      <c r="D94" s="815">
        <f t="shared" si="16"/>
        <v>61.44166666666667</v>
      </c>
      <c r="E94" s="815" t="str">
        <f t="shared" si="17"/>
        <v/>
      </c>
      <c r="F94" s="815" t="str">
        <f t="shared" si="18"/>
        <v/>
      </c>
      <c r="G94" s="815" t="str">
        <f t="shared" si="19"/>
        <v/>
      </c>
      <c r="H94" s="195"/>
      <c r="I94" s="195"/>
      <c r="J94" s="195"/>
      <c r="K94" s="195"/>
      <c r="L94" s="195"/>
      <c r="M94" s="195"/>
      <c r="N94" s="195"/>
      <c r="O94" s="195"/>
      <c r="P94" s="195"/>
      <c r="Q94" s="195"/>
      <c r="R94" s="195"/>
      <c r="S94" s="195"/>
      <c r="T94" s="195"/>
      <c r="U94" s="195"/>
      <c r="V94" s="195"/>
      <c r="W94" s="195"/>
      <c r="X94" s="195"/>
    </row>
    <row r="95" spans="2:24" ht="15" hidden="1" customHeight="1">
      <c r="B95" s="129">
        <f t="shared" ca="1" si="20"/>
        <v>2008</v>
      </c>
      <c r="C95" s="815">
        <f t="shared" si="21"/>
        <v>71.916666666666671</v>
      </c>
      <c r="D95" s="815">
        <f t="shared" si="16"/>
        <v>61.283333333333331</v>
      </c>
      <c r="E95" s="815" t="str">
        <f t="shared" si="17"/>
        <v/>
      </c>
      <c r="F95" s="815" t="str">
        <f t="shared" si="18"/>
        <v/>
      </c>
      <c r="G95" s="815" t="str">
        <f t="shared" si="19"/>
        <v/>
      </c>
      <c r="H95" s="195"/>
      <c r="I95" s="195"/>
      <c r="J95" s="195"/>
      <c r="K95" s="195"/>
      <c r="L95" s="195"/>
      <c r="M95" s="195"/>
      <c r="N95" s="195"/>
      <c r="O95" s="195"/>
      <c r="P95" s="195"/>
      <c r="Q95" s="195"/>
      <c r="R95" s="195"/>
      <c r="S95" s="195"/>
      <c r="T95" s="195"/>
      <c r="U95" s="195"/>
      <c r="V95" s="195"/>
      <c r="W95" s="195"/>
      <c r="X95" s="195"/>
    </row>
    <row r="96" spans="2:24" ht="15" hidden="1" customHeight="1">
      <c r="B96" s="129">
        <f t="shared" ca="1" si="20"/>
        <v>2007</v>
      </c>
      <c r="C96" s="815">
        <f t="shared" si="21"/>
        <v>71.433333333333337</v>
      </c>
      <c r="D96" s="815">
        <f t="shared" si="16"/>
        <v>61.133333333333347</v>
      </c>
      <c r="E96" s="815" t="str">
        <f t="shared" si="17"/>
        <v/>
      </c>
      <c r="F96" s="815" t="str">
        <f t="shared" si="18"/>
        <v/>
      </c>
      <c r="G96" s="815" t="str">
        <f t="shared" si="19"/>
        <v/>
      </c>
      <c r="H96" s="195"/>
      <c r="I96" s="195"/>
      <c r="J96" s="195"/>
      <c r="K96" s="195"/>
      <c r="L96" s="195"/>
      <c r="M96" s="195"/>
      <c r="N96" s="195"/>
      <c r="O96" s="195"/>
      <c r="P96" s="195"/>
      <c r="Q96" s="195"/>
      <c r="R96" s="195"/>
      <c r="S96" s="195"/>
      <c r="T96" s="195"/>
      <c r="U96" s="195"/>
      <c r="V96" s="195"/>
      <c r="W96" s="195"/>
      <c r="X96" s="195"/>
    </row>
    <row r="97" spans="2:24" ht="15" hidden="1" customHeight="1">
      <c r="B97" s="129">
        <f t="shared" ca="1" si="20"/>
        <v>2006</v>
      </c>
      <c r="C97" s="815">
        <f t="shared" si="21"/>
        <v>0</v>
      </c>
      <c r="D97" s="815">
        <f t="shared" si="16"/>
        <v>0</v>
      </c>
      <c r="E97" s="815" t="str">
        <f t="shared" si="17"/>
        <v/>
      </c>
      <c r="F97" s="815" t="str">
        <f t="shared" si="18"/>
        <v/>
      </c>
      <c r="G97" s="815" t="str">
        <f t="shared" si="19"/>
        <v/>
      </c>
      <c r="H97" s="195"/>
      <c r="I97" s="195"/>
      <c r="J97" s="195"/>
      <c r="K97" s="195"/>
      <c r="L97" s="195"/>
      <c r="M97" s="195"/>
      <c r="N97" s="195"/>
      <c r="O97" s="195"/>
      <c r="P97" s="195"/>
      <c r="Q97" s="195"/>
      <c r="R97" s="195"/>
      <c r="S97" s="195"/>
      <c r="T97" s="195"/>
      <c r="U97" s="195"/>
      <c r="V97" s="195"/>
      <c r="W97" s="195"/>
      <c r="X97" s="195"/>
    </row>
    <row r="98" spans="2:24" ht="15" hidden="1" customHeight="1">
      <c r="B98" s="129">
        <f t="shared" ca="1" si="20"/>
        <v>2005</v>
      </c>
      <c r="C98" s="815">
        <f t="shared" si="21"/>
        <v>0</v>
      </c>
      <c r="D98" s="815">
        <f t="shared" si="16"/>
        <v>0</v>
      </c>
      <c r="E98" s="815" t="str">
        <f t="shared" si="17"/>
        <v/>
      </c>
      <c r="F98" s="815" t="str">
        <f t="shared" si="18"/>
        <v/>
      </c>
      <c r="G98" s="815" t="str">
        <f t="shared" si="19"/>
        <v/>
      </c>
      <c r="H98" s="195"/>
      <c r="I98" s="195"/>
      <c r="J98" s="195"/>
      <c r="K98" s="195"/>
      <c r="L98" s="195"/>
      <c r="M98" s="195"/>
      <c r="N98" s="195"/>
      <c r="O98" s="195"/>
      <c r="P98" s="195"/>
      <c r="Q98" s="195"/>
      <c r="R98" s="195"/>
      <c r="S98" s="195"/>
      <c r="T98" s="195"/>
      <c r="U98" s="195"/>
      <c r="V98" s="195"/>
      <c r="W98" s="195"/>
      <c r="X98" s="195"/>
    </row>
    <row r="99" spans="2:24" ht="15" hidden="1" customHeight="1">
      <c r="B99" s="129">
        <f t="shared" ca="1" si="20"/>
        <v>2004</v>
      </c>
      <c r="C99" s="815">
        <f t="shared" si="21"/>
        <v>0</v>
      </c>
      <c r="D99" s="815">
        <f t="shared" si="16"/>
        <v>0</v>
      </c>
      <c r="E99" s="815" t="str">
        <f t="shared" si="17"/>
        <v/>
      </c>
      <c r="F99" s="815" t="str">
        <f t="shared" si="18"/>
        <v/>
      </c>
      <c r="G99" s="815" t="str">
        <f t="shared" si="19"/>
        <v/>
      </c>
      <c r="H99" s="195"/>
      <c r="I99" s="195"/>
      <c r="J99" s="195"/>
      <c r="K99" s="195"/>
      <c r="L99" s="195"/>
      <c r="M99" s="195"/>
      <c r="N99" s="195"/>
      <c r="O99" s="195"/>
      <c r="P99" s="195"/>
      <c r="Q99" s="195"/>
      <c r="R99" s="195"/>
      <c r="S99" s="195"/>
      <c r="T99" s="195"/>
      <c r="U99" s="195"/>
      <c r="V99" s="195"/>
      <c r="W99" s="195"/>
      <c r="X99" s="195"/>
    </row>
    <row r="100" spans="2:24" ht="15" hidden="1" customHeight="1">
      <c r="B100" s="129">
        <f t="shared" ca="1" si="20"/>
        <v>2003</v>
      </c>
      <c r="C100" s="815">
        <f t="shared" si="21"/>
        <v>0</v>
      </c>
      <c r="D100" s="815">
        <f t="shared" si="16"/>
        <v>0</v>
      </c>
      <c r="E100" s="815" t="str">
        <f t="shared" si="17"/>
        <v/>
      </c>
      <c r="F100" s="815" t="str">
        <f t="shared" si="18"/>
        <v/>
      </c>
      <c r="G100" s="815" t="str">
        <f t="shared" si="19"/>
        <v/>
      </c>
      <c r="H100" s="195"/>
      <c r="I100" s="195"/>
      <c r="J100" s="195"/>
      <c r="K100" s="195"/>
      <c r="L100" s="195"/>
      <c r="M100" s="195"/>
      <c r="N100" s="195"/>
      <c r="O100" s="195"/>
      <c r="P100" s="195"/>
      <c r="Q100" s="195"/>
      <c r="R100" s="195"/>
      <c r="S100" s="195"/>
      <c r="T100" s="195"/>
      <c r="U100" s="195"/>
      <c r="V100" s="195"/>
      <c r="W100" s="195"/>
      <c r="X100" s="195"/>
    </row>
    <row r="101" spans="2:24" ht="15" hidden="1" customHeight="1">
      <c r="B101" s="129">
        <f t="shared" ca="1" si="20"/>
        <v>2002</v>
      </c>
      <c r="C101" s="815">
        <f t="shared" si="21"/>
        <v>0</v>
      </c>
      <c r="D101" s="815">
        <f t="shared" si="16"/>
        <v>0</v>
      </c>
      <c r="E101" s="815" t="str">
        <f t="shared" si="17"/>
        <v/>
      </c>
      <c r="F101" s="815" t="str">
        <f t="shared" si="18"/>
        <v/>
      </c>
      <c r="G101" s="815" t="str">
        <f t="shared" si="19"/>
        <v/>
      </c>
      <c r="H101" s="195"/>
      <c r="I101" s="195"/>
      <c r="J101" s="195"/>
      <c r="K101" s="195"/>
      <c r="L101" s="195"/>
      <c r="M101" s="195"/>
      <c r="N101" s="195"/>
      <c r="O101" s="195"/>
      <c r="P101" s="195"/>
      <c r="Q101" s="195"/>
      <c r="R101" s="195"/>
      <c r="S101" s="195"/>
      <c r="T101" s="195"/>
      <c r="U101" s="195"/>
      <c r="V101" s="195"/>
      <c r="W101" s="195"/>
      <c r="X101" s="195"/>
    </row>
    <row r="102" spans="2:24" ht="15" hidden="1" customHeight="1">
      <c r="B102" s="129">
        <f t="shared" ca="1" si="20"/>
        <v>2001</v>
      </c>
      <c r="C102" s="815">
        <f t="shared" si="21"/>
        <v>0</v>
      </c>
      <c r="D102" s="815">
        <f t="shared" si="16"/>
        <v>0</v>
      </c>
      <c r="E102" s="815" t="str">
        <f t="shared" si="17"/>
        <v/>
      </c>
      <c r="F102" s="815" t="str">
        <f t="shared" si="18"/>
        <v/>
      </c>
      <c r="G102" s="815" t="str">
        <f t="shared" si="19"/>
        <v/>
      </c>
      <c r="H102" s="195"/>
      <c r="I102" s="195"/>
      <c r="J102" s="195"/>
      <c r="K102" s="195"/>
      <c r="L102" s="195"/>
      <c r="M102" s="195"/>
      <c r="N102" s="195"/>
      <c r="O102" s="195"/>
      <c r="P102" s="195"/>
      <c r="Q102" s="195"/>
      <c r="R102" s="195"/>
      <c r="S102" s="195"/>
      <c r="T102" s="195"/>
      <c r="U102" s="195"/>
      <c r="V102" s="195"/>
      <c r="W102" s="195"/>
      <c r="X102" s="195"/>
    </row>
    <row r="103" spans="2:24" ht="15" hidden="1" customHeight="1">
      <c r="B103" s="129">
        <f t="shared" ca="1" si="20"/>
        <v>2000</v>
      </c>
      <c r="C103" s="815">
        <f t="shared" si="21"/>
        <v>0</v>
      </c>
      <c r="D103" s="815">
        <f t="shared" si="16"/>
        <v>0</v>
      </c>
      <c r="E103" s="815" t="str">
        <f t="shared" si="17"/>
        <v/>
      </c>
      <c r="F103" s="815" t="str">
        <f t="shared" si="18"/>
        <v/>
      </c>
      <c r="G103" s="815" t="str">
        <f t="shared" si="19"/>
        <v/>
      </c>
      <c r="H103" s="195"/>
      <c r="I103" s="195"/>
      <c r="J103" s="195"/>
      <c r="K103" s="195"/>
      <c r="L103" s="195"/>
      <c r="M103" s="195"/>
      <c r="N103" s="195"/>
      <c r="O103" s="195"/>
      <c r="P103" s="195"/>
      <c r="Q103" s="195"/>
      <c r="R103" s="195"/>
      <c r="S103" s="195"/>
      <c r="T103" s="195"/>
      <c r="U103" s="195"/>
      <c r="V103" s="195"/>
      <c r="W103" s="195"/>
      <c r="X103" s="195"/>
    </row>
    <row r="104" spans="2:24" ht="15" hidden="1" customHeight="1">
      <c r="B104" s="129">
        <f t="shared" ca="1" si="20"/>
        <v>1999</v>
      </c>
      <c r="C104" s="815">
        <f t="shared" si="21"/>
        <v>0</v>
      </c>
      <c r="D104" s="815">
        <f t="shared" si="16"/>
        <v>0</v>
      </c>
      <c r="E104" s="815" t="str">
        <f t="shared" si="17"/>
        <v/>
      </c>
      <c r="F104" s="815" t="str">
        <f t="shared" si="18"/>
        <v/>
      </c>
      <c r="G104" s="815" t="str">
        <f t="shared" si="19"/>
        <v/>
      </c>
      <c r="H104" s="195"/>
      <c r="I104" s="195"/>
      <c r="J104" s="195"/>
      <c r="K104" s="195"/>
      <c r="L104" s="195"/>
      <c r="M104" s="195"/>
      <c r="N104" s="195"/>
      <c r="O104" s="195"/>
      <c r="P104" s="195"/>
      <c r="Q104" s="195"/>
      <c r="R104" s="195"/>
      <c r="S104" s="195"/>
      <c r="T104" s="195"/>
      <c r="U104" s="195"/>
      <c r="V104" s="195"/>
      <c r="W104" s="195"/>
      <c r="X104" s="195"/>
    </row>
    <row r="105" spans="2:24" ht="15" hidden="1" customHeight="1">
      <c r="B105" s="129">
        <f t="shared" ca="1" si="20"/>
        <v>1998</v>
      </c>
      <c r="C105" s="815">
        <f t="shared" si="21"/>
        <v>0</v>
      </c>
      <c r="D105" s="815">
        <f t="shared" si="16"/>
        <v>0</v>
      </c>
      <c r="E105" s="815" t="str">
        <f t="shared" si="17"/>
        <v/>
      </c>
      <c r="F105" s="815" t="str">
        <f t="shared" si="18"/>
        <v/>
      </c>
      <c r="G105" s="815" t="str">
        <f t="shared" si="19"/>
        <v/>
      </c>
      <c r="H105" s="195"/>
      <c r="I105" s="195"/>
      <c r="J105" s="195"/>
      <c r="K105" s="195"/>
      <c r="L105" s="195"/>
      <c r="M105" s="195"/>
      <c r="N105" s="195"/>
      <c r="O105" s="195"/>
      <c r="P105" s="195"/>
      <c r="Q105" s="195"/>
      <c r="R105" s="195"/>
      <c r="S105" s="195"/>
      <c r="T105" s="195"/>
      <c r="U105" s="195"/>
      <c r="V105" s="195"/>
      <c r="W105" s="195"/>
      <c r="X105" s="195"/>
    </row>
    <row r="106" spans="2:24" ht="15" hidden="1" customHeight="1">
      <c r="B106" s="129">
        <f t="shared" ca="1" si="20"/>
        <v>1997</v>
      </c>
      <c r="C106" s="815">
        <f t="shared" si="21"/>
        <v>0</v>
      </c>
      <c r="D106" s="815">
        <f t="shared" si="16"/>
        <v>0</v>
      </c>
      <c r="E106" s="815" t="str">
        <f t="shared" si="17"/>
        <v/>
      </c>
      <c r="F106" s="815" t="str">
        <f t="shared" si="18"/>
        <v/>
      </c>
      <c r="G106" s="815" t="str">
        <f t="shared" si="19"/>
        <v/>
      </c>
      <c r="H106" s="195"/>
      <c r="I106" s="195"/>
      <c r="J106" s="195"/>
      <c r="K106" s="195"/>
      <c r="L106" s="195"/>
      <c r="M106" s="195"/>
      <c r="N106" s="195"/>
      <c r="O106" s="195"/>
      <c r="P106" s="195"/>
      <c r="Q106" s="195"/>
      <c r="R106" s="195"/>
      <c r="S106" s="195"/>
      <c r="T106" s="195"/>
      <c r="U106" s="195"/>
      <c r="V106" s="195"/>
      <c r="W106" s="195"/>
      <c r="X106" s="195"/>
    </row>
    <row r="107" spans="2:24" ht="15" hidden="1" customHeight="1">
      <c r="B107" s="129">
        <f t="shared" ca="1" si="20"/>
        <v>1996</v>
      </c>
      <c r="C107" s="815">
        <f t="shared" si="21"/>
        <v>0</v>
      </c>
      <c r="D107" s="815">
        <f t="shared" si="16"/>
        <v>0</v>
      </c>
      <c r="E107" s="815" t="str">
        <f t="shared" si="17"/>
        <v/>
      </c>
      <c r="F107" s="815" t="str">
        <f t="shared" si="18"/>
        <v/>
      </c>
      <c r="G107" s="815" t="str">
        <f t="shared" si="19"/>
        <v/>
      </c>
      <c r="H107" s="195"/>
      <c r="I107" s="195"/>
      <c r="J107" s="195"/>
      <c r="K107" s="195"/>
      <c r="L107" s="195"/>
      <c r="M107" s="195"/>
      <c r="N107" s="195"/>
      <c r="O107" s="195"/>
      <c r="P107" s="195"/>
      <c r="Q107" s="195"/>
      <c r="R107" s="195"/>
      <c r="S107" s="195"/>
      <c r="T107" s="195"/>
      <c r="U107" s="195"/>
      <c r="V107" s="195"/>
      <c r="W107" s="195"/>
      <c r="X107" s="195"/>
    </row>
    <row r="108" spans="2:24" ht="15" hidden="1" customHeight="1">
      <c r="B108" s="129">
        <f t="shared" ca="1" si="20"/>
        <v>1995</v>
      </c>
      <c r="C108" s="815">
        <f t="shared" si="21"/>
        <v>0</v>
      </c>
      <c r="D108" s="815">
        <f t="shared" si="16"/>
        <v>0</v>
      </c>
      <c r="E108" s="815" t="str">
        <f t="shared" si="17"/>
        <v/>
      </c>
      <c r="F108" s="815" t="str">
        <f t="shared" si="18"/>
        <v/>
      </c>
      <c r="G108" s="815" t="str">
        <f t="shared" si="19"/>
        <v/>
      </c>
      <c r="H108" s="195"/>
      <c r="I108" s="195"/>
      <c r="J108" s="195"/>
      <c r="K108" s="195"/>
      <c r="L108" s="195"/>
      <c r="M108" s="195"/>
      <c r="N108" s="195"/>
      <c r="O108" s="195"/>
      <c r="P108" s="195"/>
      <c r="Q108" s="195"/>
      <c r="R108" s="195"/>
      <c r="S108" s="195"/>
      <c r="T108" s="195"/>
      <c r="U108" s="195"/>
      <c r="V108" s="195"/>
      <c r="W108" s="195"/>
      <c r="X108" s="195"/>
    </row>
    <row r="109" spans="2:24" ht="15" hidden="1" customHeight="1">
      <c r="B109" s="129">
        <f t="shared" ca="1" si="20"/>
        <v>1994</v>
      </c>
      <c r="C109" s="815">
        <f t="shared" si="21"/>
        <v>0</v>
      </c>
      <c r="D109" s="815">
        <f t="shared" si="16"/>
        <v>0</v>
      </c>
      <c r="E109" s="815" t="str">
        <f t="shared" si="17"/>
        <v/>
      </c>
      <c r="F109" s="815" t="str">
        <f t="shared" si="18"/>
        <v/>
      </c>
      <c r="G109" s="815" t="str">
        <f t="shared" si="19"/>
        <v/>
      </c>
      <c r="H109" s="195"/>
      <c r="I109" s="195"/>
      <c r="J109" s="195"/>
      <c r="K109" s="195"/>
      <c r="L109" s="195"/>
      <c r="M109" s="195"/>
      <c r="N109" s="195"/>
      <c r="O109" s="195"/>
      <c r="P109" s="195"/>
      <c r="Q109" s="195"/>
      <c r="R109" s="195"/>
      <c r="S109" s="195"/>
      <c r="T109" s="195"/>
      <c r="U109" s="195"/>
      <c r="V109" s="195"/>
      <c r="W109" s="195"/>
      <c r="X109" s="195"/>
    </row>
    <row r="110" spans="2:24" ht="15" hidden="1" customHeight="1">
      <c r="B110" s="436" t="s">
        <v>246</v>
      </c>
      <c r="C110" s="815" t="str">
        <f>I72</f>
        <v>Mean Max. Temperature (˚F)</v>
      </c>
      <c r="D110" s="815" t="str">
        <f>I73</f>
        <v>Mean Temperature (˚F)</v>
      </c>
      <c r="E110" s="815" t="str">
        <f>I74</f>
        <v>NA</v>
      </c>
      <c r="F110" s="815" t="str">
        <f>I75</f>
        <v>NA</v>
      </c>
      <c r="G110" s="815" t="str">
        <f>I76</f>
        <v>NA</v>
      </c>
      <c r="H110" s="195"/>
      <c r="I110" s="195"/>
      <c r="J110" s="195"/>
      <c r="K110" s="195"/>
      <c r="L110" s="195"/>
      <c r="M110" s="195"/>
      <c r="N110" s="195"/>
      <c r="O110" s="195"/>
      <c r="P110" s="195"/>
      <c r="Q110" s="195"/>
      <c r="R110" s="195"/>
      <c r="S110" s="195"/>
      <c r="T110" s="195"/>
      <c r="U110" s="195"/>
      <c r="V110" s="195"/>
      <c r="W110" s="195"/>
      <c r="X110" s="195"/>
    </row>
    <row r="111" spans="2:24" ht="15" hidden="1" customHeight="1">
      <c r="G111" s="129"/>
      <c r="H111" s="195"/>
      <c r="I111" s="195"/>
      <c r="J111" s="195"/>
      <c r="K111" s="195"/>
      <c r="L111" s="195"/>
      <c r="M111" s="195"/>
      <c r="N111" s="195"/>
      <c r="O111" s="195"/>
      <c r="P111" s="195"/>
      <c r="Q111" s="195"/>
      <c r="R111" s="195"/>
      <c r="S111" s="195"/>
      <c r="T111" s="195"/>
      <c r="U111" s="195"/>
      <c r="V111" s="195"/>
      <c r="W111" s="195"/>
      <c r="X111" s="195"/>
    </row>
    <row r="112" spans="2:24" ht="15" hidden="1" customHeight="1">
      <c r="G112" s="129"/>
      <c r="H112" s="195"/>
      <c r="I112" s="195"/>
      <c r="J112" s="195"/>
      <c r="K112" s="195"/>
      <c r="L112" s="195"/>
      <c r="M112" s="195"/>
      <c r="N112" s="195"/>
      <c r="O112" s="195"/>
      <c r="P112" s="195"/>
      <c r="Q112" s="195"/>
      <c r="R112" s="195"/>
      <c r="S112" s="195"/>
      <c r="T112" s="195"/>
      <c r="U112" s="195"/>
      <c r="V112" s="195"/>
      <c r="W112" s="195"/>
      <c r="X112" s="195"/>
    </row>
    <row r="113" spans="2:39" ht="15" hidden="1" customHeight="1" thickBot="1">
      <c r="G113" s="129"/>
      <c r="H113" s="195"/>
      <c r="I113" s="195"/>
      <c r="J113" s="195"/>
      <c r="K113" s="195"/>
      <c r="L113" s="195"/>
      <c r="M113" s="195"/>
      <c r="N113" s="195"/>
      <c r="O113" s="195"/>
      <c r="P113" s="195"/>
      <c r="Q113" s="195"/>
      <c r="R113" s="195"/>
      <c r="S113" s="195"/>
      <c r="T113" s="195"/>
      <c r="U113" s="195"/>
      <c r="V113" s="195"/>
      <c r="W113" s="195"/>
      <c r="X113" s="195"/>
    </row>
    <row r="114" spans="2:39" s="802" customFormat="1" ht="27" customHeight="1">
      <c r="B114" s="1074" t="s">
        <v>474</v>
      </c>
      <c r="C114" s="1075"/>
      <c r="D114" s="1075"/>
      <c r="E114" s="1075"/>
      <c r="F114" s="1075"/>
      <c r="G114" s="1076"/>
      <c r="H114" s="196"/>
      <c r="I114" s="196"/>
      <c r="J114" s="196"/>
      <c r="K114" s="196"/>
      <c r="L114" s="196"/>
      <c r="M114" s="196"/>
      <c r="N114" s="196"/>
      <c r="O114" s="196"/>
      <c r="P114" s="196"/>
      <c r="Q114" s="196"/>
      <c r="R114" s="196"/>
      <c r="S114" s="196"/>
      <c r="T114" s="196"/>
      <c r="U114" s="196"/>
      <c r="V114" s="196"/>
      <c r="W114" s="196"/>
      <c r="X114" s="196"/>
      <c r="Y114" s="595"/>
      <c r="Z114" s="595"/>
      <c r="AA114" s="595"/>
      <c r="AB114" s="595"/>
      <c r="AC114" s="595"/>
      <c r="AD114" s="595"/>
      <c r="AE114" s="595"/>
      <c r="AF114" s="595"/>
      <c r="AG114" s="595"/>
      <c r="AH114" s="595"/>
      <c r="AI114" s="595"/>
      <c r="AJ114" s="595"/>
      <c r="AK114" s="595"/>
      <c r="AL114" s="595"/>
      <c r="AM114" s="595"/>
    </row>
    <row r="115" spans="2:39" ht="54" customHeight="1" thickBot="1">
      <c r="B115" s="1018" t="str">
        <f>IF(AND(J72="NA",J73="NA",J74="NA",J75="NA",J76="NA"),"Insufficient data input in the previous step necessitates the use of the default ratios that are described above. "&amp;"Inputting data in the previous step may produce more accurate relationships between temperature, precipitation and residential demand for your utility.","Based on the data inputs in the previous step, the following trends are statistically most significant for your utility and are used in the predictions in the next step."&amp;" Note that these are gross approximations. More in-depth analysis is required for more accurate calculations."&amp;" Only the most statistically significant relationship between residential water use (by block) and temperature or precipitation is used.")</f>
        <v>Based on the data inputs in the previous step, the following trends are statistically most significant for your utility and are used in the predictions in the next step. Note that these are gross approximations. More in-depth analysis is required for more accurate calculations. Only the most statistically significant relationship between residential water use (by block) and temperature or precipitation is used.</v>
      </c>
      <c r="C115" s="1019"/>
      <c r="D115" s="1019"/>
      <c r="E115" s="1019"/>
      <c r="F115" s="1019"/>
      <c r="G115" s="1020"/>
      <c r="H115" s="195"/>
      <c r="I115" s="195"/>
      <c r="J115" s="195"/>
      <c r="K115" s="195"/>
      <c r="L115" s="195"/>
      <c r="M115" s="195"/>
      <c r="N115" s="195"/>
      <c r="O115" s="195"/>
      <c r="P115" s="195"/>
      <c r="Q115" s="195"/>
      <c r="R115" s="195"/>
      <c r="S115" s="195"/>
      <c r="T115" s="195"/>
      <c r="U115" s="195"/>
      <c r="V115" s="195"/>
      <c r="W115" s="195"/>
      <c r="X115" s="195"/>
    </row>
    <row r="116" spans="2:39" ht="71.25">
      <c r="B116" s="845"/>
      <c r="C116" s="846"/>
      <c r="D116" s="846"/>
      <c r="E116" s="843" t="s">
        <v>477</v>
      </c>
      <c r="F116" s="355"/>
      <c r="G116" s="807"/>
      <c r="H116" s="195"/>
      <c r="I116" s="195"/>
      <c r="J116" s="195"/>
      <c r="K116" s="195"/>
      <c r="L116" s="195"/>
      <c r="M116" s="195"/>
      <c r="N116" s="195"/>
      <c r="O116" s="195"/>
      <c r="P116" s="195"/>
      <c r="Q116" s="195"/>
      <c r="R116" s="195"/>
      <c r="S116" s="195"/>
      <c r="T116" s="195"/>
      <c r="U116" s="195"/>
      <c r="V116" s="195"/>
      <c r="W116" s="195"/>
      <c r="X116" s="195"/>
    </row>
    <row r="117" spans="2:39" s="433" customFormat="1" ht="35.25" customHeight="1">
      <c r="B117" s="1103" t="str">
        <f>IF(AND(J72="NA",J73="NA",J74="NA",J75="NA",J76="NA"),M78,M72)</f>
        <v>For every 1˚F increase in the average monthly maximum temperature, average residential monthly demand between 0 - 2000 gallons/month DECREASES by about 0.3%, on average.</v>
      </c>
      <c r="C117" s="1104"/>
      <c r="D117" s="1104"/>
      <c r="E117" s="844"/>
      <c r="F117" s="805"/>
      <c r="G117" s="808"/>
      <c r="H117" s="483"/>
      <c r="I117" s="483"/>
      <c r="J117" s="483"/>
      <c r="K117" s="483"/>
      <c r="L117" s="483"/>
      <c r="M117" s="483"/>
      <c r="N117" s="483"/>
      <c r="O117" s="483"/>
      <c r="P117" s="483"/>
      <c r="Q117" s="483"/>
      <c r="R117" s="483"/>
      <c r="S117" s="483"/>
      <c r="T117" s="483"/>
      <c r="U117" s="483"/>
      <c r="V117" s="483"/>
      <c r="W117" s="483"/>
      <c r="X117" s="483"/>
      <c r="Y117" s="558"/>
      <c r="Z117" s="558"/>
      <c r="AA117" s="558"/>
      <c r="AB117" s="558"/>
      <c r="AC117" s="558"/>
      <c r="AD117" s="558"/>
      <c r="AE117" s="558"/>
      <c r="AF117" s="558"/>
      <c r="AG117" s="558"/>
      <c r="AH117" s="558"/>
      <c r="AI117" s="558"/>
      <c r="AJ117" s="558"/>
      <c r="AK117" s="558"/>
      <c r="AL117" s="558"/>
      <c r="AM117" s="558"/>
    </row>
    <row r="118" spans="2:39" s="433" customFormat="1" ht="35.25" customHeight="1">
      <c r="B118" s="1103" t="str">
        <f>IF(AND(J72="NA",J73="NA",J74="NA",J75="NA",J76="NA"),M79,M73)</f>
        <v>For every 1˚F increase in mean temperature throughout the year, average residential monthly demand between 2001 gallons/month onwards INCREASES by about 4.9%, on average.</v>
      </c>
      <c r="C118" s="1104"/>
      <c r="D118" s="1104"/>
      <c r="E118" s="849"/>
      <c r="F118" s="805"/>
      <c r="G118" s="808"/>
      <c r="H118" s="483"/>
      <c r="I118" s="483"/>
      <c r="J118" s="483"/>
      <c r="K118" s="483"/>
      <c r="L118" s="483"/>
      <c r="M118" s="483"/>
      <c r="N118" s="483"/>
      <c r="O118" s="483"/>
      <c r="P118" s="483"/>
      <c r="Q118" s="483"/>
      <c r="R118" s="483"/>
      <c r="S118" s="483"/>
      <c r="T118" s="483"/>
      <c r="U118" s="483"/>
      <c r="V118" s="483"/>
      <c r="W118" s="483"/>
      <c r="X118" s="483"/>
      <c r="Y118" s="558"/>
      <c r="Z118" s="558"/>
      <c r="AA118" s="558"/>
      <c r="AB118" s="558"/>
      <c r="AC118" s="558"/>
      <c r="AD118" s="558"/>
      <c r="AE118" s="558"/>
      <c r="AF118" s="558"/>
      <c r="AG118" s="558"/>
      <c r="AH118" s="558"/>
      <c r="AI118" s="558"/>
      <c r="AJ118" s="558"/>
      <c r="AK118" s="558"/>
      <c r="AL118" s="558"/>
      <c r="AM118" s="558"/>
    </row>
    <row r="119" spans="2:39" s="433" customFormat="1" ht="35.25" customHeight="1">
      <c r="B119" s="1103" t="str">
        <f>IF(AND(J73="NA",J74="NA",J75="NA",J76="NA",J77="NA"),M80,M74)</f>
        <v/>
      </c>
      <c r="C119" s="1104"/>
      <c r="D119" s="1104"/>
      <c r="E119" s="849"/>
      <c r="F119" s="805"/>
      <c r="G119" s="808"/>
      <c r="H119" s="483"/>
      <c r="I119" s="483"/>
      <c r="J119" s="483"/>
      <c r="K119" s="483"/>
      <c r="L119" s="483"/>
      <c r="M119" s="483"/>
      <c r="N119" s="483"/>
      <c r="O119" s="483"/>
      <c r="P119" s="483"/>
      <c r="Q119" s="483"/>
      <c r="R119" s="483"/>
      <c r="S119" s="483"/>
      <c r="T119" s="483"/>
      <c r="U119" s="483"/>
      <c r="V119" s="483"/>
      <c r="W119" s="483"/>
      <c r="X119" s="483"/>
      <c r="Y119" s="558"/>
      <c r="Z119" s="558"/>
      <c r="AA119" s="558"/>
      <c r="AB119" s="558"/>
      <c r="AC119" s="558"/>
      <c r="AD119" s="558"/>
      <c r="AE119" s="558"/>
      <c r="AF119" s="558"/>
      <c r="AG119" s="558"/>
      <c r="AH119" s="558"/>
      <c r="AI119" s="558"/>
      <c r="AJ119" s="558"/>
      <c r="AK119" s="558"/>
      <c r="AL119" s="558"/>
      <c r="AM119" s="558"/>
    </row>
    <row r="120" spans="2:39" s="433" customFormat="1" ht="35.25" customHeight="1">
      <c r="B120" s="1103" t="str">
        <f>IF(AND(J74="NA",J75="NA",J76="NA",J77="NA",J78="NA"),M81,M75)</f>
        <v/>
      </c>
      <c r="C120" s="1104"/>
      <c r="D120" s="1104"/>
      <c r="E120" s="849"/>
      <c r="F120" s="805"/>
      <c r="G120" s="808"/>
      <c r="H120" s="483"/>
      <c r="I120" s="483"/>
      <c r="J120" s="483"/>
      <c r="K120" s="483"/>
      <c r="L120" s="483"/>
      <c r="M120" s="483"/>
      <c r="N120" s="483"/>
      <c r="O120" s="483"/>
      <c r="P120" s="483"/>
      <c r="Q120" s="483"/>
      <c r="R120" s="483"/>
      <c r="S120" s="483"/>
      <c r="T120" s="483"/>
      <c r="U120" s="483"/>
      <c r="V120" s="483"/>
      <c r="W120" s="483"/>
      <c r="X120" s="483"/>
      <c r="Y120" s="558"/>
      <c r="Z120" s="558"/>
      <c r="AA120" s="558"/>
      <c r="AB120" s="558"/>
      <c r="AC120" s="558"/>
      <c r="AD120" s="558"/>
      <c r="AE120" s="558"/>
      <c r="AF120" s="558"/>
      <c r="AG120" s="558"/>
      <c r="AH120" s="558"/>
      <c r="AI120" s="558"/>
      <c r="AJ120" s="558"/>
      <c r="AK120" s="558"/>
      <c r="AL120" s="558"/>
      <c r="AM120" s="558"/>
    </row>
    <row r="121" spans="2:39" s="433" customFormat="1" ht="35.25" customHeight="1" thickBot="1">
      <c r="B121" s="1105" t="str">
        <f>IF(AND(J75="NA",J76="NA",J77="NA",J78="NA",J79="NA"),M82,M76)</f>
        <v/>
      </c>
      <c r="C121" s="1106"/>
      <c r="D121" s="1106"/>
      <c r="E121" s="850"/>
      <c r="F121" s="805"/>
      <c r="G121" s="808"/>
      <c r="H121" s="483"/>
      <c r="I121" s="483"/>
      <c r="J121" s="483"/>
      <c r="K121" s="483"/>
      <c r="L121" s="483"/>
      <c r="M121" s="483"/>
      <c r="N121" s="483"/>
      <c r="O121" s="483"/>
      <c r="P121" s="483"/>
      <c r="Q121" s="483"/>
      <c r="R121" s="483"/>
      <c r="S121" s="483"/>
      <c r="T121" s="483"/>
      <c r="U121" s="483"/>
      <c r="V121" s="483"/>
      <c r="W121" s="483"/>
      <c r="X121" s="483"/>
      <c r="Y121" s="558"/>
      <c r="Z121" s="558"/>
      <c r="AA121" s="558"/>
      <c r="AB121" s="558"/>
      <c r="AC121" s="558"/>
      <c r="AD121" s="558"/>
      <c r="AE121" s="558"/>
      <c r="AF121" s="558"/>
      <c r="AG121" s="558"/>
      <c r="AH121" s="558"/>
      <c r="AI121" s="558"/>
      <c r="AJ121" s="558"/>
      <c r="AK121" s="558"/>
      <c r="AL121" s="558"/>
      <c r="AM121" s="558"/>
    </row>
    <row r="122" spans="2:39" s="433" customFormat="1" ht="15" thickBot="1">
      <c r="B122" s="847"/>
      <c r="C122" s="848"/>
      <c r="D122" s="848"/>
      <c r="E122" s="806"/>
      <c r="F122" s="806"/>
      <c r="G122" s="809"/>
      <c r="H122" s="483"/>
      <c r="I122" s="483"/>
      <c r="J122" s="483"/>
      <c r="K122" s="483"/>
      <c r="L122" s="483"/>
      <c r="M122" s="483"/>
      <c r="N122" s="483"/>
      <c r="O122" s="483"/>
      <c r="P122" s="483"/>
      <c r="Q122" s="483"/>
      <c r="R122" s="483"/>
      <c r="S122" s="483"/>
      <c r="T122" s="483"/>
      <c r="U122" s="483"/>
      <c r="V122" s="483"/>
      <c r="W122" s="483"/>
      <c r="X122" s="483"/>
      <c r="Y122" s="558"/>
      <c r="Z122" s="558"/>
      <c r="AA122" s="558"/>
      <c r="AB122" s="558"/>
      <c r="AC122" s="558"/>
      <c r="AD122" s="558"/>
      <c r="AE122" s="558"/>
      <c r="AF122" s="558"/>
      <c r="AG122" s="558"/>
      <c r="AH122" s="558"/>
      <c r="AI122" s="558"/>
      <c r="AJ122" s="558"/>
      <c r="AK122" s="558"/>
      <c r="AL122" s="558"/>
      <c r="AM122" s="558"/>
    </row>
    <row r="123" spans="2:39" ht="15" customHeight="1" thickBot="1">
      <c r="G123" s="129"/>
      <c r="H123" s="195"/>
      <c r="I123" s="195"/>
      <c r="J123" s="195"/>
      <c r="K123" s="195"/>
      <c r="L123" s="195"/>
      <c r="M123" s="195"/>
      <c r="N123" s="195"/>
      <c r="O123" s="195"/>
      <c r="P123" s="195"/>
      <c r="Q123" s="195"/>
      <c r="R123" s="195"/>
      <c r="S123" s="195"/>
      <c r="T123" s="195"/>
      <c r="U123" s="195"/>
      <c r="V123" s="195"/>
      <c r="W123" s="195"/>
      <c r="X123" s="195"/>
    </row>
    <row r="124" spans="2:39" s="802" customFormat="1" ht="27" customHeight="1">
      <c r="B124" s="1093" t="s">
        <v>478</v>
      </c>
      <c r="C124" s="1094"/>
      <c r="D124" s="1094"/>
      <c r="E124" s="1094"/>
      <c r="F124" s="1094"/>
      <c r="G124" s="1095"/>
      <c r="H124" s="196"/>
      <c r="I124" s="196"/>
      <c r="J124" s="196"/>
      <c r="K124" s="196"/>
      <c r="L124" s="196"/>
      <c r="M124" s="196"/>
      <c r="N124" s="196"/>
      <c r="O124" s="196"/>
      <c r="P124" s="196"/>
      <c r="Q124" s="196"/>
      <c r="R124" s="196"/>
      <c r="S124" s="196"/>
      <c r="T124" s="196"/>
      <c r="U124" s="196"/>
      <c r="V124" s="196"/>
      <c r="W124" s="196"/>
      <c r="X124" s="196"/>
      <c r="Y124" s="595"/>
      <c r="Z124" s="595"/>
      <c r="AA124" s="595"/>
      <c r="AB124" s="595"/>
      <c r="AC124" s="595"/>
      <c r="AD124" s="595"/>
      <c r="AE124" s="595"/>
      <c r="AF124" s="595"/>
      <c r="AG124" s="595"/>
      <c r="AH124" s="595"/>
      <c r="AI124" s="595"/>
      <c r="AJ124" s="595"/>
      <c r="AK124" s="595"/>
      <c r="AL124" s="595"/>
      <c r="AM124" s="595"/>
    </row>
    <row r="125" spans="2:39" ht="48" customHeight="1">
      <c r="B125" s="1018" t="s">
        <v>479</v>
      </c>
      <c r="C125" s="1019"/>
      <c r="D125" s="1019"/>
      <c r="E125" s="1019"/>
      <c r="F125" s="1019"/>
      <c r="G125" s="1020"/>
      <c r="H125" s="195"/>
      <c r="I125" s="195"/>
      <c r="J125" s="195"/>
      <c r="K125" s="195"/>
      <c r="L125" s="195"/>
      <c r="M125" s="195"/>
      <c r="N125" s="195"/>
      <c r="O125" s="195"/>
      <c r="P125" s="195"/>
      <c r="Q125" s="195"/>
      <c r="R125" s="195"/>
      <c r="S125" s="195"/>
      <c r="T125" s="195"/>
      <c r="U125" s="195"/>
      <c r="V125" s="195"/>
      <c r="W125" s="195"/>
      <c r="X125" s="195"/>
    </row>
    <row r="126" spans="2:39" ht="15.75" thickBot="1">
      <c r="B126" s="862"/>
      <c r="C126" s="659"/>
      <c r="D126" s="659"/>
      <c r="E126" s="659"/>
      <c r="F126" s="659"/>
      <c r="G126" s="863"/>
      <c r="H126" s="195"/>
      <c r="I126" s="195"/>
      <c r="J126" s="195"/>
      <c r="K126" s="195"/>
      <c r="L126" s="195"/>
      <c r="M126" s="195"/>
      <c r="N126" s="195"/>
      <c r="O126" s="195"/>
      <c r="P126" s="195"/>
      <c r="Q126" s="195"/>
      <c r="R126" s="195"/>
      <c r="S126" s="195"/>
      <c r="T126" s="195"/>
      <c r="U126" s="195"/>
      <c r="V126" s="195"/>
      <c r="W126" s="195"/>
      <c r="X126" s="195"/>
    </row>
    <row r="127" spans="2:39" ht="30.75" customHeight="1">
      <c r="B127" s="856"/>
      <c r="C127" s="1109" t="s">
        <v>480</v>
      </c>
      <c r="D127" s="1109"/>
      <c r="E127" s="857"/>
      <c r="F127" s="1107" t="s">
        <v>483</v>
      </c>
      <c r="G127" s="1108"/>
      <c r="I127" s="195" t="s">
        <v>247</v>
      </c>
      <c r="J127" s="195"/>
      <c r="K127" s="195"/>
      <c r="L127" s="195"/>
      <c r="M127" s="195"/>
      <c r="N127" s="195"/>
      <c r="O127" s="195"/>
      <c r="P127" s="195"/>
      <c r="Q127" s="195"/>
      <c r="R127" s="195"/>
      <c r="S127" s="195"/>
      <c r="T127" s="195"/>
      <c r="U127" s="195"/>
      <c r="V127" s="195"/>
      <c r="W127" s="195"/>
      <c r="X127" s="195"/>
    </row>
    <row r="128" spans="2:39" ht="28.5" customHeight="1">
      <c r="B128" s="853" t="str">
        <f t="array" ref="B128:B131">TRANSPOSE(C48:F48)</f>
        <v>Mean Temperature (˚F)</v>
      </c>
      <c r="C128" s="484">
        <v>60</v>
      </c>
      <c r="D128" s="851" t="str">
        <f>IF(OR(B128=$I$72,B128=$I$73,B128=$I$74,B128=$I$75,B128=$I$76,AND(J72="NA",J73="NA",J74="NA",J75="NA",J76="NA")),"mandatory","not required - can leave blank")</f>
        <v>mandatory</v>
      </c>
      <c r="E128" s="851"/>
      <c r="F128" s="858">
        <f>I128</f>
        <v>60</v>
      </c>
      <c r="G128" s="859" t="s">
        <v>424</v>
      </c>
      <c r="I128" s="195">
        <f>IF(C128="",IFERROR(ROUND(AVERAGE(C49:C68),1),70),C128)</f>
        <v>60</v>
      </c>
      <c r="J128" s="195"/>
      <c r="K128" s="195"/>
      <c r="L128" s="195"/>
      <c r="M128" s="195"/>
      <c r="N128" s="195"/>
      <c r="O128" s="195"/>
      <c r="P128" s="195"/>
      <c r="Q128" s="195"/>
      <c r="R128" s="195"/>
      <c r="S128" s="195"/>
      <c r="T128" s="195"/>
      <c r="U128" s="195"/>
      <c r="V128" s="195"/>
      <c r="W128" s="195"/>
      <c r="X128" s="195"/>
    </row>
    <row r="129" spans="2:24" ht="28.5" customHeight="1">
      <c r="B129" s="853" t="str">
        <v>Mean Max. Temperature (˚F)</v>
      </c>
      <c r="C129" s="484">
        <v>75</v>
      </c>
      <c r="D129" s="851" t="str">
        <f>IF(OR(B129=$I$72,B129=$I$73,B129=$I$74,B129=$I$75,B129=$I$76),"mandatory","not required - can leave blank")</f>
        <v>mandatory</v>
      </c>
      <c r="E129" s="851"/>
      <c r="F129" s="858">
        <f>I129</f>
        <v>75</v>
      </c>
      <c r="G129" s="859" t="s">
        <v>424</v>
      </c>
      <c r="I129" s="195">
        <f>IF(C129="",IFERROR(ROUND(AVERAGE(D49:D68),1),80),C129)</f>
        <v>75</v>
      </c>
      <c r="J129" s="195"/>
      <c r="K129" s="195"/>
      <c r="L129" s="195"/>
      <c r="M129" s="195"/>
      <c r="N129" s="195"/>
      <c r="O129" s="195"/>
      <c r="P129" s="195"/>
      <c r="Q129" s="195"/>
      <c r="R129" s="195"/>
      <c r="S129" s="195"/>
      <c r="T129" s="195"/>
      <c r="U129" s="195"/>
      <c r="V129" s="195"/>
      <c r="W129" s="195"/>
      <c r="X129" s="195"/>
    </row>
    <row r="130" spans="2:24" ht="28.5" customHeight="1">
      <c r="B130" s="853" t="str">
        <v>Total Annual Precipitation (inches/year)</v>
      </c>
      <c r="C130" s="484"/>
      <c r="D130" s="851" t="str">
        <f>IF(OR(B130=$I$72,B130=$I$73,B130=$I$74,B130=$I$75,B130=$I$76,AND(J72="NA",J73="NA",J74="NA",J75="NA",J76="NA")),"mandatory","not required - can leave blank")</f>
        <v>not required - can leave blank</v>
      </c>
      <c r="E130" s="851"/>
      <c r="F130" s="858">
        <f>I130</f>
        <v>48.7</v>
      </c>
      <c r="G130" s="859" t="s">
        <v>251</v>
      </c>
      <c r="I130" s="195">
        <f>IF(C130="",IFERROR(ROUND(AVERAGE(E49:E68),1),30),C130)</f>
        <v>48.7</v>
      </c>
      <c r="J130" s="195"/>
      <c r="K130" s="195"/>
      <c r="L130" s="195"/>
      <c r="M130" s="195"/>
      <c r="N130" s="195"/>
      <c r="O130" s="195"/>
      <c r="P130" s="195"/>
      <c r="Q130" s="195"/>
      <c r="R130" s="195"/>
      <c r="S130" s="195"/>
      <c r="T130" s="195"/>
      <c r="U130" s="195"/>
      <c r="V130" s="195"/>
      <c r="W130" s="195"/>
      <c r="X130" s="195"/>
    </row>
    <row r="131" spans="2:24" ht="28.5" customHeight="1" thickBot="1">
      <c r="B131" s="854" t="str">
        <v>Mean Monthly Precipitation in April through September Only (inches/month)</v>
      </c>
      <c r="C131" s="485"/>
      <c r="D131" s="855" t="str">
        <f>IF(OR(B131=$I$72,B131=$I$73,B131=$I$74,B131=$I$75,B131=$I$76),"mandatory","not required - can leave blank")</f>
        <v>not required - can leave blank</v>
      </c>
      <c r="E131" s="855"/>
      <c r="F131" s="860">
        <f>I131</f>
        <v>4.5</v>
      </c>
      <c r="G131" s="861" t="s">
        <v>252</v>
      </c>
      <c r="I131" s="195">
        <f>IF(C131="",IFERROR(ROUND(AVERAGE(F49:F68),1),15),C131)</f>
        <v>4.5</v>
      </c>
      <c r="J131" s="195"/>
      <c r="K131" s="195"/>
      <c r="L131" s="195"/>
      <c r="M131" s="195"/>
      <c r="N131" s="195"/>
      <c r="O131" s="195"/>
      <c r="P131" s="195"/>
      <c r="Q131" s="195"/>
      <c r="R131" s="195"/>
      <c r="S131" s="195"/>
      <c r="T131" s="195"/>
      <c r="U131" s="195"/>
      <c r="V131" s="195"/>
      <c r="W131" s="195"/>
      <c r="X131" s="195"/>
    </row>
    <row r="132" spans="2:24" ht="15" customHeight="1" thickBot="1">
      <c r="B132" s="840"/>
      <c r="C132" s="841"/>
      <c r="D132" s="841"/>
      <c r="E132" s="841"/>
      <c r="F132" s="841"/>
      <c r="G132" s="864"/>
      <c r="I132" s="195"/>
      <c r="J132" s="195"/>
      <c r="K132" s="195"/>
      <c r="L132" s="195"/>
      <c r="M132" s="195"/>
      <c r="N132" s="195"/>
      <c r="O132" s="195"/>
      <c r="P132" s="195"/>
      <c r="Q132" s="195"/>
      <c r="R132" s="195"/>
      <c r="S132" s="195"/>
      <c r="T132" s="195"/>
      <c r="U132" s="195"/>
      <c r="V132" s="195"/>
      <c r="W132" s="195"/>
      <c r="X132" s="195"/>
    </row>
    <row r="133" spans="2:24" ht="15" customHeight="1" thickBot="1">
      <c r="I133" s="195"/>
      <c r="J133" s="195"/>
      <c r="K133" s="195"/>
      <c r="L133" s="195"/>
      <c r="M133" s="195"/>
      <c r="N133" s="195"/>
      <c r="O133" s="195"/>
      <c r="P133" s="195"/>
      <c r="Q133" s="195"/>
      <c r="R133" s="195"/>
      <c r="S133" s="195"/>
      <c r="T133" s="195"/>
      <c r="U133" s="195"/>
      <c r="V133" s="195"/>
      <c r="W133" s="195"/>
      <c r="X133" s="195"/>
    </row>
    <row r="134" spans="2:24" ht="27" customHeight="1">
      <c r="B134" s="1074" t="s">
        <v>481</v>
      </c>
      <c r="C134" s="1096"/>
      <c r="D134" s="1096"/>
      <c r="E134" s="1096"/>
      <c r="F134" s="1096"/>
      <c r="G134" s="1097"/>
      <c r="I134" s="195"/>
      <c r="J134" s="195"/>
      <c r="K134" s="195"/>
      <c r="L134" s="195"/>
      <c r="M134" s="195"/>
      <c r="N134" s="195"/>
      <c r="O134" s="195"/>
      <c r="P134" s="195"/>
      <c r="Q134" s="195"/>
      <c r="R134" s="195"/>
      <c r="S134" s="195"/>
      <c r="T134" s="195"/>
      <c r="U134" s="195"/>
      <c r="V134" s="195"/>
      <c r="W134" s="195"/>
      <c r="X134" s="195"/>
    </row>
    <row r="135" spans="2:24" ht="15">
      <c r="B135" s="1110" t="s">
        <v>482</v>
      </c>
      <c r="C135" s="1111"/>
      <c r="D135" s="1111"/>
      <c r="E135" s="1111"/>
      <c r="F135" s="1111"/>
      <c r="G135" s="1112"/>
      <c r="I135" s="195"/>
      <c r="J135" s="195"/>
      <c r="K135" s="195"/>
      <c r="L135" s="195"/>
      <c r="M135" s="195"/>
      <c r="N135" s="195"/>
      <c r="O135" s="195"/>
      <c r="P135" s="195"/>
      <c r="Q135" s="195"/>
      <c r="R135" s="195"/>
      <c r="S135" s="195"/>
      <c r="T135" s="195"/>
      <c r="U135" s="195"/>
      <c r="V135" s="195"/>
      <c r="W135" s="195"/>
      <c r="X135" s="195"/>
    </row>
    <row r="136" spans="2:24" ht="15" customHeight="1" thickBot="1">
      <c r="B136" s="812"/>
      <c r="C136" s="355"/>
      <c r="D136" s="355"/>
      <c r="E136" s="355"/>
      <c r="F136" s="355"/>
      <c r="G136" s="813"/>
      <c r="I136" s="195" t="s">
        <v>247</v>
      </c>
      <c r="J136" s="195"/>
      <c r="K136" s="195"/>
      <c r="L136" s="195"/>
      <c r="M136" s="195"/>
      <c r="N136" s="195"/>
      <c r="O136" s="195"/>
      <c r="P136" s="195"/>
      <c r="Q136" s="195"/>
      <c r="R136" s="195"/>
      <c r="S136" s="195"/>
      <c r="T136" s="195"/>
      <c r="U136" s="195"/>
      <c r="V136" s="195"/>
      <c r="W136" s="195"/>
      <c r="X136" s="195"/>
    </row>
    <row r="137" spans="2:24" ht="30" customHeight="1">
      <c r="B137" s="856"/>
      <c r="C137" s="651" t="s">
        <v>250</v>
      </c>
      <c r="D137" s="651" t="s">
        <v>249</v>
      </c>
      <c r="E137" s="857"/>
      <c r="F137" s="1107" t="s">
        <v>484</v>
      </c>
      <c r="G137" s="1108"/>
      <c r="I137" s="466" t="s">
        <v>210</v>
      </c>
      <c r="J137" s="466" t="s">
        <v>78</v>
      </c>
      <c r="K137" s="195"/>
      <c r="L137" s="195"/>
      <c r="M137" s="195"/>
      <c r="N137" s="195"/>
      <c r="O137" s="195"/>
      <c r="P137" s="195"/>
      <c r="Q137" s="195"/>
      <c r="R137" s="195"/>
      <c r="S137" s="195"/>
      <c r="T137" s="195"/>
      <c r="U137" s="195"/>
      <c r="V137" s="195"/>
      <c r="W137" s="195"/>
      <c r="X137" s="195"/>
    </row>
    <row r="138" spans="2:24" ht="28.5" customHeight="1">
      <c r="B138" s="866" t="str">
        <f>B128</f>
        <v>Mean Temperature (˚F)</v>
      </c>
      <c r="C138" s="484">
        <v>55</v>
      </c>
      <c r="D138" s="484">
        <v>65</v>
      </c>
      <c r="E138" s="852" t="str">
        <f>D128</f>
        <v>mandatory</v>
      </c>
      <c r="F138" s="865" t="str">
        <f>I138&amp;" - "&amp;J138</f>
        <v>55 - 65</v>
      </c>
      <c r="G138" s="859" t="s">
        <v>424</v>
      </c>
      <c r="I138" s="195">
        <f>IF(C138="",F128-5,C138)</f>
        <v>55</v>
      </c>
      <c r="J138" s="195">
        <f>IF(D138="",F128+5,D138)</f>
        <v>65</v>
      </c>
    </row>
    <row r="139" spans="2:24" ht="28.5" customHeight="1">
      <c r="B139" s="866" t="str">
        <f>B129</f>
        <v>Mean Max. Temperature (˚F)</v>
      </c>
      <c r="C139" s="484">
        <v>70</v>
      </c>
      <c r="D139" s="484">
        <v>80</v>
      </c>
      <c r="E139" s="852" t="str">
        <f>D129</f>
        <v>mandatory</v>
      </c>
      <c r="F139" s="865" t="str">
        <f>I139&amp;" - "&amp;J139</f>
        <v>70 - 80</v>
      </c>
      <c r="G139" s="859" t="s">
        <v>424</v>
      </c>
      <c r="I139" s="195">
        <f>IF(C139="",F129-5,C139)</f>
        <v>70</v>
      </c>
      <c r="J139" s="195">
        <f>IF(D139="",F129+5,D139)</f>
        <v>80</v>
      </c>
    </row>
    <row r="140" spans="2:24" ht="28.5" customHeight="1">
      <c r="B140" s="866" t="str">
        <f>B130</f>
        <v>Total Annual Precipitation (inches/year)</v>
      </c>
      <c r="C140" s="484"/>
      <c r="D140" s="484"/>
      <c r="E140" s="852" t="str">
        <f>D130</f>
        <v>not required - can leave blank</v>
      </c>
      <c r="F140" s="865" t="str">
        <f>I140&amp;" - "&amp;J140</f>
        <v>0 - 73</v>
      </c>
      <c r="G140" s="859" t="s">
        <v>251</v>
      </c>
      <c r="I140" s="195">
        <f>IF(C140="",0,C140)</f>
        <v>0</v>
      </c>
      <c r="J140" s="195">
        <f>IF(D140="",ROUND(F130*1.5,0),D140)</f>
        <v>73</v>
      </c>
    </row>
    <row r="141" spans="2:24" ht="28.5" customHeight="1" thickBot="1">
      <c r="B141" s="854" t="str">
        <f>B131</f>
        <v>Mean Monthly Precipitation in April through September Only (inches/month)</v>
      </c>
      <c r="C141" s="485"/>
      <c r="D141" s="485"/>
      <c r="E141" s="867" t="str">
        <f>D131</f>
        <v>not required - can leave blank</v>
      </c>
      <c r="F141" s="868" t="str">
        <f>I141&amp;" - "&amp;J141</f>
        <v>0 - 18</v>
      </c>
      <c r="G141" s="861" t="s">
        <v>252</v>
      </c>
      <c r="I141" s="466">
        <f>IF(C141="",0,C141)</f>
        <v>0</v>
      </c>
      <c r="J141" s="466">
        <f>IF(D141="",ROUND(F131*4,0),D141)</f>
        <v>18</v>
      </c>
    </row>
    <row r="142" spans="2:24" ht="15" thickBot="1">
      <c r="B142" s="869"/>
      <c r="C142" s="870"/>
      <c r="D142" s="870"/>
      <c r="E142" s="870"/>
      <c r="F142" s="871"/>
      <c r="G142" s="872"/>
    </row>
    <row r="143" spans="2:24" ht="15" customHeight="1" thickBot="1"/>
    <row r="144" spans="2:24" ht="15" hidden="1" customHeight="1"/>
    <row r="145" spans="2:39" ht="15" hidden="1" customHeight="1">
      <c r="B145" s="134" t="s">
        <v>253</v>
      </c>
      <c r="C145" s="129" t="s">
        <v>254</v>
      </c>
      <c r="D145" s="129" t="s">
        <v>255</v>
      </c>
      <c r="E145" s="129" t="s">
        <v>256</v>
      </c>
      <c r="F145" s="129" t="s">
        <v>257</v>
      </c>
      <c r="G145" s="137" t="s">
        <v>260</v>
      </c>
      <c r="H145" s="465" t="s">
        <v>248</v>
      </c>
      <c r="I145" s="466" t="s">
        <v>261</v>
      </c>
      <c r="J145" s="466" t="s">
        <v>262</v>
      </c>
      <c r="K145" s="466" t="s">
        <v>263</v>
      </c>
      <c r="L145" s="466" t="s">
        <v>264</v>
      </c>
      <c r="M145" s="466" t="s">
        <v>265</v>
      </c>
    </row>
    <row r="146" spans="2:39" ht="15" hidden="1" customHeight="1">
      <c r="B146" s="129" t="str">
        <f>B72</f>
        <v>0 - 2000 gallons/month</v>
      </c>
      <c r="C146" s="129">
        <f t="array" ref="C146:C150">TRANSPOSE(C15:G15)</f>
        <v>2000</v>
      </c>
      <c r="D146" s="129">
        <f>IF(C146=0,9999999,C146)</f>
        <v>2000</v>
      </c>
      <c r="E146" s="129" t="str">
        <f>IF(B146="","",IF(I72="NA",$C$48,I72))</f>
        <v>Mean Max. Temperature (˚F)</v>
      </c>
      <c r="F146" s="136">
        <f>IF(E146="","",IFERROR(L72/100,$L$78/100))</f>
        <v>-3.4799999999999996E-3</v>
      </c>
      <c r="G146" s="434">
        <f>IFERROR(VLOOKUP(E146,$B$128:$F$131,5,FALSE),"")</f>
        <v>75</v>
      </c>
      <c r="H146" s="465">
        <f>IFERROR(VLOOKUP(E146,$B$138:$J$141,8,FALSE),"")</f>
        <v>70</v>
      </c>
      <c r="I146" s="465">
        <f>IFERROR(VLOOKUP(E146,$B$138:$J$141,9,FALSE),"")</f>
        <v>80</v>
      </c>
      <c r="J146" s="466">
        <f>IF($G146="","",H146-$G146)</f>
        <v>-5</v>
      </c>
      <c r="K146" s="466">
        <f>IF($G146="","",I146-$G146)</f>
        <v>5</v>
      </c>
      <c r="L146" s="559">
        <f>IF($F146="","",J146*$F146)</f>
        <v>1.7399999999999999E-2</v>
      </c>
      <c r="M146" s="559">
        <f>IF($F146="","",K146*$F146)</f>
        <v>-1.7399999999999999E-2</v>
      </c>
    </row>
    <row r="147" spans="2:39" ht="15" hidden="1" customHeight="1">
      <c r="B147" s="129" t="str">
        <f>B73</f>
        <v>2001 gallons/month onwards</v>
      </c>
      <c r="C147" s="129">
        <v>0</v>
      </c>
      <c r="D147" s="129">
        <f t="shared" ref="D147:D150" si="22">IF(C147=0,9999999,C147)</f>
        <v>9999999</v>
      </c>
      <c r="E147" s="129" t="str">
        <f>IF(B147="","",IF(I73="NA",$C$48,I73))</f>
        <v>Mean Temperature (˚F)</v>
      </c>
      <c r="F147" s="136">
        <f>IF(E147="","",IFERROR(L73/100,$L$78/100))</f>
        <v>4.9269999999999994E-2</v>
      </c>
      <c r="G147" s="434">
        <f t="shared" ref="G147:G150" si="23">IFERROR(VLOOKUP(E147,$B$128:$F$131,5,FALSE),"")</f>
        <v>60</v>
      </c>
      <c r="H147" s="465">
        <f t="shared" ref="H147:H150" si="24">IFERROR(VLOOKUP(E147,$B$138:$J$141,8,FALSE),"")</f>
        <v>55</v>
      </c>
      <c r="I147" s="465">
        <f t="shared" ref="I147:I150" si="25">IFERROR(VLOOKUP(E147,$B$138:$J$141,9,FALSE),"")</f>
        <v>65</v>
      </c>
      <c r="J147" s="466">
        <f>IF($G147="","",H147-$G147)</f>
        <v>-5</v>
      </c>
      <c r="K147" s="466">
        <f>IF($G147="","",I147-$G147)</f>
        <v>5</v>
      </c>
      <c r="L147" s="559">
        <f t="shared" ref="L147:M150" si="26">IF($F147="","",J147*$F147)</f>
        <v>-0.24634999999999996</v>
      </c>
      <c r="M147" s="559">
        <f>IF($F147="","",K147*$F147)</f>
        <v>0.24634999999999996</v>
      </c>
    </row>
    <row r="148" spans="2:39" ht="15" hidden="1" customHeight="1">
      <c r="B148" s="129" t="str">
        <f>B74</f>
        <v/>
      </c>
      <c r="C148" s="129">
        <v>0</v>
      </c>
      <c r="D148" s="129">
        <f t="shared" si="22"/>
        <v>9999999</v>
      </c>
      <c r="E148" s="129" t="str">
        <f>IF(B148="","",IF(I74="NA",$C$48,I74))</f>
        <v/>
      </c>
      <c r="F148" s="136" t="str">
        <f>IF(E148="","",IFERROR(L74/100,$L$78/100))</f>
        <v/>
      </c>
      <c r="G148" s="434" t="str">
        <f t="shared" si="23"/>
        <v/>
      </c>
      <c r="H148" s="465" t="str">
        <f t="shared" si="24"/>
        <v/>
      </c>
      <c r="I148" s="465" t="str">
        <f t="shared" si="25"/>
        <v/>
      </c>
      <c r="J148" s="466" t="str">
        <f t="shared" ref="J148:K150" si="27">IF($G148="","",H148-$G148)</f>
        <v/>
      </c>
      <c r="K148" s="466" t="str">
        <f t="shared" si="27"/>
        <v/>
      </c>
      <c r="L148" s="559" t="str">
        <f t="shared" si="26"/>
        <v/>
      </c>
      <c r="M148" s="559" t="str">
        <f t="shared" si="26"/>
        <v/>
      </c>
    </row>
    <row r="149" spans="2:39" ht="15" hidden="1" customHeight="1">
      <c r="B149" s="129" t="str">
        <f>B75</f>
        <v/>
      </c>
      <c r="C149" s="129">
        <v>0</v>
      </c>
      <c r="D149" s="129">
        <f t="shared" si="22"/>
        <v>9999999</v>
      </c>
      <c r="E149" s="129" t="str">
        <f>IF(B149="","",IF(I75="NA",$C$48,I75))</f>
        <v/>
      </c>
      <c r="F149" s="136" t="str">
        <f>IF(E149="","",IFERROR(L75/100,$L$78/100))</f>
        <v/>
      </c>
      <c r="G149" s="434" t="str">
        <f t="shared" si="23"/>
        <v/>
      </c>
      <c r="H149" s="465" t="str">
        <f t="shared" si="24"/>
        <v/>
      </c>
      <c r="I149" s="465" t="str">
        <f t="shared" si="25"/>
        <v/>
      </c>
      <c r="J149" s="466" t="str">
        <f t="shared" si="27"/>
        <v/>
      </c>
      <c r="K149" s="466" t="str">
        <f t="shared" si="27"/>
        <v/>
      </c>
      <c r="L149" s="559" t="str">
        <f t="shared" si="26"/>
        <v/>
      </c>
      <c r="M149" s="559" t="str">
        <f t="shared" si="26"/>
        <v/>
      </c>
    </row>
    <row r="150" spans="2:39" ht="15" hidden="1" customHeight="1">
      <c r="B150" s="129" t="str">
        <f>B76</f>
        <v/>
      </c>
      <c r="C150" s="129">
        <v>0</v>
      </c>
      <c r="D150" s="129">
        <f t="shared" si="22"/>
        <v>9999999</v>
      </c>
      <c r="E150" s="129" t="str">
        <f>IF(B150="","",IF(I76="NA",$C$48,I76))</f>
        <v/>
      </c>
      <c r="F150" s="136" t="str">
        <f>IF(E150="","",IFERROR(L76/100,$L$78/100))</f>
        <v/>
      </c>
      <c r="G150" s="434" t="str">
        <f t="shared" si="23"/>
        <v/>
      </c>
      <c r="H150" s="465" t="str">
        <f t="shared" si="24"/>
        <v/>
      </c>
      <c r="I150" s="465" t="str">
        <f t="shared" si="25"/>
        <v/>
      </c>
      <c r="J150" s="466" t="str">
        <f t="shared" si="27"/>
        <v/>
      </c>
      <c r="K150" s="466" t="str">
        <f t="shared" si="27"/>
        <v/>
      </c>
      <c r="L150" s="559" t="str">
        <f t="shared" si="26"/>
        <v/>
      </c>
      <c r="M150" s="559" t="str">
        <f t="shared" si="26"/>
        <v/>
      </c>
    </row>
    <row r="151" spans="2:39" ht="15" hidden="1" customHeight="1">
      <c r="AC151" s="560" t="s">
        <v>42</v>
      </c>
    </row>
    <row r="152" spans="2:39" hidden="1">
      <c r="B152" s="436" t="s">
        <v>4</v>
      </c>
      <c r="C152" s="437">
        <v>0</v>
      </c>
      <c r="D152" s="435">
        <v>1000</v>
      </c>
      <c r="E152" s="435">
        <v>2000</v>
      </c>
      <c r="F152" s="435">
        <v>3000</v>
      </c>
      <c r="G152" s="435">
        <v>4000</v>
      </c>
      <c r="H152" s="560">
        <v>5000</v>
      </c>
      <c r="I152" s="560">
        <v>6000</v>
      </c>
      <c r="J152" s="560">
        <v>7000</v>
      </c>
      <c r="K152" s="560">
        <v>8000</v>
      </c>
      <c r="L152" s="560">
        <v>9000</v>
      </c>
      <c r="M152" s="560">
        <v>10000</v>
      </c>
      <c r="N152" s="560">
        <v>11000</v>
      </c>
      <c r="O152" s="560">
        <v>12000</v>
      </c>
      <c r="P152" s="560">
        <v>13000</v>
      </c>
      <c r="Q152" s="560">
        <v>14000</v>
      </c>
      <c r="R152" s="560">
        <v>15000</v>
      </c>
      <c r="S152" s="560">
        <v>16000</v>
      </c>
      <c r="T152" s="560">
        <v>17000</v>
      </c>
      <c r="U152" s="560">
        <v>18000</v>
      </c>
      <c r="V152" s="560">
        <v>19000</v>
      </c>
      <c r="W152" s="560">
        <v>20000</v>
      </c>
      <c r="X152" s="560">
        <v>21000</v>
      </c>
      <c r="Y152" s="560">
        <v>22000</v>
      </c>
      <c r="Z152" s="560">
        <v>23000</v>
      </c>
      <c r="AA152" s="560">
        <v>24000</v>
      </c>
      <c r="AB152" s="560">
        <v>25000</v>
      </c>
      <c r="AC152" s="465">
        <f>AE159</f>
        <v>27258</v>
      </c>
    </row>
    <row r="153" spans="2:39" ht="15" hidden="1" customHeight="1">
      <c r="B153" s="129" t="s">
        <v>264</v>
      </c>
      <c r="C153" s="129">
        <f>IF(C$152&lt;=$D146,$L$146,IF(C$152&lt;=$D147,$L$147,IF(C$152&lt;=$D148,$L$148,IF(C$152&lt;=$D149,$L$149,$L$150))))</f>
        <v>1.7399999999999999E-2</v>
      </c>
      <c r="D153" s="129">
        <f t="shared" ref="D153:AC153" si="28">IF(D$152&lt;=$D146,$L$146,IF(D$152&lt;=$D147,$L$147,IF(D$152&lt;=$D148,$L$148,IF(D$152&lt;=$D149,$L$149,$L$150))))</f>
        <v>1.7399999999999999E-2</v>
      </c>
      <c r="E153" s="129">
        <f t="shared" si="28"/>
        <v>1.7399999999999999E-2</v>
      </c>
      <c r="F153" s="129">
        <f t="shared" si="28"/>
        <v>-0.24634999999999996</v>
      </c>
      <c r="G153" s="129">
        <f t="shared" si="28"/>
        <v>-0.24634999999999996</v>
      </c>
      <c r="H153" s="466">
        <f t="shared" si="28"/>
        <v>-0.24634999999999996</v>
      </c>
      <c r="I153" s="466">
        <f t="shared" si="28"/>
        <v>-0.24634999999999996</v>
      </c>
      <c r="J153" s="466">
        <f t="shared" si="28"/>
        <v>-0.24634999999999996</v>
      </c>
      <c r="K153" s="466">
        <f t="shared" si="28"/>
        <v>-0.24634999999999996</v>
      </c>
      <c r="L153" s="466">
        <f t="shared" si="28"/>
        <v>-0.24634999999999996</v>
      </c>
      <c r="M153" s="466">
        <f t="shared" si="28"/>
        <v>-0.24634999999999996</v>
      </c>
      <c r="N153" s="466">
        <f t="shared" si="28"/>
        <v>-0.24634999999999996</v>
      </c>
      <c r="O153" s="466">
        <f t="shared" si="28"/>
        <v>-0.24634999999999996</v>
      </c>
      <c r="P153" s="466">
        <f t="shared" si="28"/>
        <v>-0.24634999999999996</v>
      </c>
      <c r="Q153" s="466">
        <f t="shared" si="28"/>
        <v>-0.24634999999999996</v>
      </c>
      <c r="R153" s="466">
        <f t="shared" si="28"/>
        <v>-0.24634999999999996</v>
      </c>
      <c r="S153" s="466">
        <f t="shared" si="28"/>
        <v>-0.24634999999999996</v>
      </c>
      <c r="T153" s="466">
        <f t="shared" si="28"/>
        <v>-0.24634999999999996</v>
      </c>
      <c r="U153" s="466">
        <f t="shared" si="28"/>
        <v>-0.24634999999999996</v>
      </c>
      <c r="V153" s="466">
        <f t="shared" si="28"/>
        <v>-0.24634999999999996</v>
      </c>
      <c r="W153" s="466">
        <f t="shared" si="28"/>
        <v>-0.24634999999999996</v>
      </c>
      <c r="X153" s="466">
        <f t="shared" si="28"/>
        <v>-0.24634999999999996</v>
      </c>
      <c r="Y153" s="466">
        <f t="shared" si="28"/>
        <v>-0.24634999999999996</v>
      </c>
      <c r="Z153" s="466">
        <f t="shared" si="28"/>
        <v>-0.24634999999999996</v>
      </c>
      <c r="AA153" s="466">
        <f t="shared" si="28"/>
        <v>-0.24634999999999996</v>
      </c>
      <c r="AB153" s="466">
        <f t="shared" si="28"/>
        <v>-0.24634999999999996</v>
      </c>
      <c r="AC153" s="466">
        <f t="shared" si="28"/>
        <v>-0.24634999999999996</v>
      </c>
    </row>
    <row r="154" spans="2:39" ht="15" hidden="1" customHeight="1">
      <c r="B154" s="129" t="s">
        <v>265</v>
      </c>
      <c r="C154" s="129">
        <f>IF(C$152&lt;=$D146,$M$146,IF(C$152&lt;=$D147,$M$147,IF(C$152&lt;=$D148,$M$148,IF(C$152&lt;=$D149,$M$149,$M$150))))</f>
        <v>-1.7399999999999999E-2</v>
      </c>
      <c r="D154" s="129">
        <f t="shared" ref="D154:AA154" si="29">IF(D$152&lt;=$D146,$M$146,IF(D$152&lt;=$D147,$M$147,IF(D$152&lt;=$D148,$M$148,IF(D$152&lt;=$D149,$M$149,$M$150))))</f>
        <v>-1.7399999999999999E-2</v>
      </c>
      <c r="E154" s="129">
        <f t="shared" si="29"/>
        <v>-1.7399999999999999E-2</v>
      </c>
      <c r="F154" s="129">
        <f t="shared" si="29"/>
        <v>0.24634999999999996</v>
      </c>
      <c r="G154" s="129">
        <f t="shared" si="29"/>
        <v>0.24634999999999996</v>
      </c>
      <c r="H154" s="466">
        <f t="shared" si="29"/>
        <v>0.24634999999999996</v>
      </c>
      <c r="I154" s="466">
        <f t="shared" si="29"/>
        <v>0.24634999999999996</v>
      </c>
      <c r="J154" s="466">
        <f t="shared" si="29"/>
        <v>0.24634999999999996</v>
      </c>
      <c r="K154" s="466">
        <f t="shared" si="29"/>
        <v>0.24634999999999996</v>
      </c>
      <c r="L154" s="466">
        <f t="shared" si="29"/>
        <v>0.24634999999999996</v>
      </c>
      <c r="M154" s="466">
        <f t="shared" si="29"/>
        <v>0.24634999999999996</v>
      </c>
      <c r="N154" s="466">
        <f t="shared" si="29"/>
        <v>0.24634999999999996</v>
      </c>
      <c r="O154" s="466">
        <f t="shared" si="29"/>
        <v>0.24634999999999996</v>
      </c>
      <c r="P154" s="466">
        <f t="shared" si="29"/>
        <v>0.24634999999999996</v>
      </c>
      <c r="Q154" s="466">
        <f t="shared" si="29"/>
        <v>0.24634999999999996</v>
      </c>
      <c r="R154" s="466">
        <f t="shared" si="29"/>
        <v>0.24634999999999996</v>
      </c>
      <c r="S154" s="466">
        <f t="shared" si="29"/>
        <v>0.24634999999999996</v>
      </c>
      <c r="T154" s="466">
        <f t="shared" si="29"/>
        <v>0.24634999999999996</v>
      </c>
      <c r="U154" s="466">
        <f t="shared" si="29"/>
        <v>0.24634999999999996</v>
      </c>
      <c r="V154" s="466">
        <f t="shared" si="29"/>
        <v>0.24634999999999996</v>
      </c>
      <c r="W154" s="466">
        <f t="shared" si="29"/>
        <v>0.24634999999999996</v>
      </c>
      <c r="X154" s="466">
        <f t="shared" si="29"/>
        <v>0.24634999999999996</v>
      </c>
      <c r="Y154" s="466">
        <f t="shared" si="29"/>
        <v>0.24634999999999996</v>
      </c>
      <c r="Z154" s="466">
        <f t="shared" si="29"/>
        <v>0.24634999999999996</v>
      </c>
      <c r="AA154" s="466">
        <f t="shared" si="29"/>
        <v>0.24634999999999996</v>
      </c>
      <c r="AB154" s="466">
        <f>IF(AB$152&lt;=$D146,$M$146,IF(AB$152&lt;=$D147,$M$147,IF(AB$152&lt;=$D148,$M$148,IF(AB$152&lt;=$D149,$M$149,$M$150))))</f>
        <v>0.24634999999999996</v>
      </c>
      <c r="AC154" s="466">
        <f>IF(AC$152&lt;=$D146,$M$146,IF(AC$152&lt;=$D147,$M$147,IF(AC$152&lt;=$D148,$M$148,IF(AC$152&lt;=$D149,$M$149,$M$150))))</f>
        <v>0.24634999999999996</v>
      </c>
    </row>
    <row r="155" spans="2:39" ht="15" hidden="1" customHeight="1"/>
    <row r="156" spans="2:39" ht="14.25" hidden="1" customHeight="1"/>
    <row r="157" spans="2:39" s="147" customFormat="1" ht="15" hidden="1">
      <c r="B157" s="150" t="s">
        <v>60</v>
      </c>
      <c r="C157" s="147">
        <v>0</v>
      </c>
      <c r="D157" s="147">
        <f>C159+1</f>
        <v>1</v>
      </c>
      <c r="E157" s="147">
        <f t="shared" ref="E157:AC157" si="30">D159+1</f>
        <v>1001</v>
      </c>
      <c r="F157" s="147">
        <f t="shared" si="30"/>
        <v>2001</v>
      </c>
      <c r="G157" s="147">
        <f t="shared" si="30"/>
        <v>3001</v>
      </c>
      <c r="H157" s="479">
        <f t="shared" si="30"/>
        <v>4001</v>
      </c>
      <c r="I157" s="479">
        <f t="shared" si="30"/>
        <v>5001</v>
      </c>
      <c r="J157" s="479">
        <f t="shared" si="30"/>
        <v>6001</v>
      </c>
      <c r="K157" s="479">
        <f t="shared" si="30"/>
        <v>7001</v>
      </c>
      <c r="L157" s="479">
        <f t="shared" si="30"/>
        <v>8001</v>
      </c>
      <c r="M157" s="479">
        <f t="shared" si="30"/>
        <v>9001</v>
      </c>
      <c r="N157" s="479">
        <f t="shared" si="30"/>
        <v>10001</v>
      </c>
      <c r="O157" s="479">
        <f t="shared" si="30"/>
        <v>11001</v>
      </c>
      <c r="P157" s="479">
        <f t="shared" si="30"/>
        <v>12001</v>
      </c>
      <c r="Q157" s="479">
        <f t="shared" si="30"/>
        <v>13001</v>
      </c>
      <c r="R157" s="479">
        <f t="shared" si="30"/>
        <v>14001</v>
      </c>
      <c r="S157" s="479">
        <f t="shared" si="30"/>
        <v>15001</v>
      </c>
      <c r="T157" s="479">
        <f t="shared" si="30"/>
        <v>16001</v>
      </c>
      <c r="U157" s="479">
        <f t="shared" si="30"/>
        <v>17001</v>
      </c>
      <c r="V157" s="479">
        <f t="shared" si="30"/>
        <v>18001</v>
      </c>
      <c r="W157" s="479">
        <f t="shared" si="30"/>
        <v>19001</v>
      </c>
      <c r="X157" s="479">
        <f t="shared" si="30"/>
        <v>20001</v>
      </c>
      <c r="Y157" s="479">
        <f t="shared" si="30"/>
        <v>21001</v>
      </c>
      <c r="Z157" s="479">
        <f t="shared" si="30"/>
        <v>22001</v>
      </c>
      <c r="AA157" s="479">
        <f t="shared" si="30"/>
        <v>23001</v>
      </c>
      <c r="AB157" s="479">
        <f t="shared" si="30"/>
        <v>24001</v>
      </c>
      <c r="AC157" s="479">
        <f t="shared" si="30"/>
        <v>25001</v>
      </c>
      <c r="AD157" s="479"/>
      <c r="AE157" s="479"/>
      <c r="AF157" s="479"/>
      <c r="AG157" s="479"/>
      <c r="AH157" s="479"/>
      <c r="AI157" s="479"/>
      <c r="AJ157" s="479"/>
      <c r="AK157" s="479"/>
      <c r="AL157" s="479"/>
      <c r="AM157" s="479"/>
    </row>
    <row r="158" spans="2:39" s="147" customFormat="1" ht="15" hidden="1">
      <c r="B158" s="150" t="s">
        <v>61</v>
      </c>
      <c r="C158" s="147" t="s">
        <v>59</v>
      </c>
      <c r="D158" s="147" t="s">
        <v>59</v>
      </c>
      <c r="E158" s="147" t="s">
        <v>59</v>
      </c>
      <c r="F158" s="147" t="s">
        <v>59</v>
      </c>
      <c r="G158" s="147" t="s">
        <v>59</v>
      </c>
      <c r="H158" s="479" t="s">
        <v>59</v>
      </c>
      <c r="I158" s="479" t="s">
        <v>59</v>
      </c>
      <c r="J158" s="479" t="s">
        <v>59</v>
      </c>
      <c r="K158" s="479" t="s">
        <v>59</v>
      </c>
      <c r="L158" s="479" t="s">
        <v>59</v>
      </c>
      <c r="M158" s="479" t="s">
        <v>59</v>
      </c>
      <c r="N158" s="479" t="s">
        <v>59</v>
      </c>
      <c r="O158" s="479" t="s">
        <v>59</v>
      </c>
      <c r="P158" s="479" t="s">
        <v>59</v>
      </c>
      <c r="Q158" s="479" t="s">
        <v>59</v>
      </c>
      <c r="R158" s="479" t="s">
        <v>59</v>
      </c>
      <c r="S158" s="479" t="s">
        <v>59</v>
      </c>
      <c r="T158" s="479" t="s">
        <v>59</v>
      </c>
      <c r="U158" s="479" t="s">
        <v>59</v>
      </c>
      <c r="V158" s="479" t="s">
        <v>59</v>
      </c>
      <c r="W158" s="479" t="s">
        <v>59</v>
      </c>
      <c r="X158" s="479" t="s">
        <v>59</v>
      </c>
      <c r="Y158" s="479" t="s">
        <v>59</v>
      </c>
      <c r="Z158" s="479" t="s">
        <v>59</v>
      </c>
      <c r="AA158" s="479" t="s">
        <v>59</v>
      </c>
      <c r="AB158" s="479" t="s">
        <v>59</v>
      </c>
      <c r="AC158" s="479" t="s">
        <v>59</v>
      </c>
      <c r="AD158" s="479"/>
      <c r="AE158" s="479" t="s">
        <v>271</v>
      </c>
      <c r="AF158" s="479"/>
      <c r="AG158" s="479"/>
      <c r="AH158" s="479"/>
      <c r="AI158" s="479"/>
      <c r="AJ158" s="479"/>
      <c r="AK158" s="479"/>
      <c r="AL158" s="479"/>
      <c r="AM158" s="479"/>
    </row>
    <row r="159" spans="2:39" hidden="1">
      <c r="C159" s="437">
        <v>0</v>
      </c>
      <c r="D159" s="435">
        <v>1000</v>
      </c>
      <c r="E159" s="435">
        <v>2000</v>
      </c>
      <c r="F159" s="435">
        <v>3000</v>
      </c>
      <c r="G159" s="435">
        <v>4000</v>
      </c>
      <c r="H159" s="560">
        <v>5000</v>
      </c>
      <c r="I159" s="560">
        <v>6000</v>
      </c>
      <c r="J159" s="560">
        <v>7000</v>
      </c>
      <c r="K159" s="560">
        <v>8000</v>
      </c>
      <c r="L159" s="560">
        <v>9000</v>
      </c>
      <c r="M159" s="560">
        <v>10000</v>
      </c>
      <c r="N159" s="560">
        <v>11000</v>
      </c>
      <c r="O159" s="560">
        <v>12000</v>
      </c>
      <c r="P159" s="560">
        <v>13000</v>
      </c>
      <c r="Q159" s="560">
        <v>14000</v>
      </c>
      <c r="R159" s="560">
        <v>15000</v>
      </c>
      <c r="S159" s="560">
        <v>16000</v>
      </c>
      <c r="T159" s="560">
        <v>17000</v>
      </c>
      <c r="U159" s="560">
        <v>18000</v>
      </c>
      <c r="V159" s="560">
        <v>19000</v>
      </c>
      <c r="W159" s="560">
        <v>20000</v>
      </c>
      <c r="X159" s="560">
        <v>21000</v>
      </c>
      <c r="Y159" s="560">
        <v>22000</v>
      </c>
      <c r="Z159" s="560">
        <v>23000</v>
      </c>
      <c r="AA159" s="560">
        <v>24000</v>
      </c>
      <c r="AB159" s="560">
        <v>25000</v>
      </c>
      <c r="AC159" s="560">
        <f>'Revenues from COMPARATIVE Rates'!AC37</f>
        <v>54516</v>
      </c>
      <c r="AE159" s="466">
        <f>'Revenues from COMPARATIVE Rates'!AE37</f>
        <v>27258</v>
      </c>
    </row>
    <row r="160" spans="2:39" ht="15" hidden="1">
      <c r="B160" s="130" t="s">
        <v>267</v>
      </c>
      <c r="C160" s="438">
        <f>'Revenues from COMPARATIVE Rates'!C106</f>
        <v>67031</v>
      </c>
      <c r="D160" s="438">
        <f>'Revenues from COMPARATIVE Rates'!D106</f>
        <v>83886</v>
      </c>
      <c r="E160" s="438">
        <f>'Revenues from COMPARATIVE Rates'!E106</f>
        <v>118817</v>
      </c>
      <c r="F160" s="438">
        <f>'Revenues from COMPARATIVE Rates'!F106</f>
        <v>120959</v>
      </c>
      <c r="G160" s="438">
        <f>'Revenues from COMPARATIVE Rates'!G106</f>
        <v>113449</v>
      </c>
      <c r="H160" s="561">
        <f>'Revenues from COMPARATIVE Rates'!H106</f>
        <v>86802</v>
      </c>
      <c r="I160" s="561">
        <f>'Revenues from COMPARATIVE Rates'!I106</f>
        <v>67590</v>
      </c>
      <c r="J160" s="561">
        <f>'Revenues from COMPARATIVE Rates'!J106</f>
        <v>44999</v>
      </c>
      <c r="K160" s="561">
        <f>'Revenues from COMPARATIVE Rates'!K106</f>
        <v>35404</v>
      </c>
      <c r="L160" s="561">
        <f>'Revenues from COMPARATIVE Rates'!L106</f>
        <v>22384</v>
      </c>
      <c r="M160" s="561">
        <f>'Revenues from COMPARATIVE Rates'!M106</f>
        <v>19377</v>
      </c>
      <c r="N160" s="561">
        <f>'Revenues from COMPARATIVE Rates'!N106</f>
        <v>11932</v>
      </c>
      <c r="O160" s="561">
        <f>'Revenues from COMPARATIVE Rates'!O106</f>
        <v>11438</v>
      </c>
      <c r="P160" s="561">
        <f>'Revenues from COMPARATIVE Rates'!P106</f>
        <v>7198</v>
      </c>
      <c r="Q160" s="561">
        <f>'Revenues from COMPARATIVE Rates'!Q106</f>
        <v>7246</v>
      </c>
      <c r="R160" s="561">
        <f>'Revenues from COMPARATIVE Rates'!R106</f>
        <v>4765</v>
      </c>
      <c r="S160" s="561">
        <f>'Revenues from COMPARATIVE Rates'!S106</f>
        <v>5004</v>
      </c>
      <c r="T160" s="561">
        <f>'Revenues from COMPARATIVE Rates'!T106</f>
        <v>3444</v>
      </c>
      <c r="U160" s="561">
        <f>'Revenues from COMPARATIVE Rates'!U106</f>
        <v>3674</v>
      </c>
      <c r="V160" s="561">
        <f>'Revenues from COMPARATIVE Rates'!V106</f>
        <v>2571</v>
      </c>
      <c r="W160" s="561">
        <f>'Revenues from COMPARATIVE Rates'!W106</f>
        <v>2949</v>
      </c>
      <c r="X160" s="561">
        <f>'Revenues from COMPARATIVE Rates'!X106</f>
        <v>2762</v>
      </c>
      <c r="Y160" s="561">
        <f>'Revenues from COMPARATIVE Rates'!Y106</f>
        <v>2653</v>
      </c>
      <c r="Z160" s="561">
        <f>'Revenues from COMPARATIVE Rates'!Z106</f>
        <v>2504</v>
      </c>
      <c r="AA160" s="561">
        <f>'Revenues from COMPARATIVE Rates'!AA106</f>
        <v>2269</v>
      </c>
      <c r="AB160" s="561">
        <f>'Revenues from COMPARATIVE Rates'!AB106</f>
        <v>1633</v>
      </c>
      <c r="AC160" s="561">
        <f>'Revenues from COMPARATIVE Rates'!AC106</f>
        <v>11663</v>
      </c>
    </row>
    <row r="161" spans="2:39" ht="15" hidden="1">
      <c r="B161" s="130" t="s">
        <v>67</v>
      </c>
      <c r="C161" s="147">
        <f>C160</f>
        <v>67031</v>
      </c>
      <c r="D161" s="438">
        <f>D160+C161</f>
        <v>150917</v>
      </c>
      <c r="E161" s="438">
        <f t="shared" ref="E161:AC161" si="31">E160+D161</f>
        <v>269734</v>
      </c>
      <c r="F161" s="438">
        <f t="shared" si="31"/>
        <v>390693</v>
      </c>
      <c r="G161" s="438">
        <f t="shared" si="31"/>
        <v>504142</v>
      </c>
      <c r="H161" s="561">
        <f t="shared" si="31"/>
        <v>590944</v>
      </c>
      <c r="I161" s="561">
        <f t="shared" si="31"/>
        <v>658534</v>
      </c>
      <c r="J161" s="561">
        <f t="shared" si="31"/>
        <v>703533</v>
      </c>
      <c r="K161" s="561">
        <f t="shared" si="31"/>
        <v>738937</v>
      </c>
      <c r="L161" s="561">
        <f t="shared" si="31"/>
        <v>761321</v>
      </c>
      <c r="M161" s="561">
        <f t="shared" si="31"/>
        <v>780698</v>
      </c>
      <c r="N161" s="561">
        <f t="shared" si="31"/>
        <v>792630</v>
      </c>
      <c r="O161" s="561">
        <f t="shared" si="31"/>
        <v>804068</v>
      </c>
      <c r="P161" s="561">
        <f t="shared" si="31"/>
        <v>811266</v>
      </c>
      <c r="Q161" s="561">
        <f t="shared" si="31"/>
        <v>818512</v>
      </c>
      <c r="R161" s="561">
        <f t="shared" si="31"/>
        <v>823277</v>
      </c>
      <c r="S161" s="561">
        <f t="shared" si="31"/>
        <v>828281</v>
      </c>
      <c r="T161" s="561">
        <f t="shared" si="31"/>
        <v>831725</v>
      </c>
      <c r="U161" s="561">
        <f t="shared" si="31"/>
        <v>835399</v>
      </c>
      <c r="V161" s="561">
        <f t="shared" si="31"/>
        <v>837970</v>
      </c>
      <c r="W161" s="561">
        <f t="shared" si="31"/>
        <v>840919</v>
      </c>
      <c r="X161" s="561">
        <f t="shared" si="31"/>
        <v>843681</v>
      </c>
      <c r="Y161" s="561">
        <f t="shared" si="31"/>
        <v>846334</v>
      </c>
      <c r="Z161" s="561">
        <f t="shared" si="31"/>
        <v>848838</v>
      </c>
      <c r="AA161" s="561">
        <f t="shared" si="31"/>
        <v>851107</v>
      </c>
      <c r="AB161" s="561">
        <f t="shared" si="31"/>
        <v>852740</v>
      </c>
      <c r="AC161" s="561">
        <f t="shared" si="31"/>
        <v>864403</v>
      </c>
    </row>
    <row r="162" spans="2:39" ht="15" hidden="1">
      <c r="B162" s="130" t="s">
        <v>46</v>
      </c>
      <c r="C162" s="439">
        <f>AC161</f>
        <v>864403</v>
      </c>
      <c r="D162" s="437"/>
      <c r="E162" s="437"/>
      <c r="F162" s="437"/>
      <c r="G162" s="437"/>
      <c r="H162" s="562"/>
      <c r="I162" s="562"/>
      <c r="J162" s="562"/>
      <c r="K162" s="562"/>
      <c r="L162" s="562"/>
      <c r="M162" s="562"/>
      <c r="N162" s="562"/>
      <c r="O162" s="562"/>
      <c r="P162" s="562"/>
      <c r="Q162" s="562"/>
      <c r="R162" s="562"/>
      <c r="S162" s="562"/>
      <c r="T162" s="562"/>
      <c r="U162" s="562"/>
      <c r="V162" s="562"/>
      <c r="W162" s="562"/>
      <c r="X162" s="562"/>
      <c r="Y162" s="562"/>
      <c r="Z162" s="562"/>
      <c r="AA162" s="562"/>
      <c r="AB162" s="562"/>
      <c r="AC162" s="562"/>
    </row>
    <row r="163" spans="2:39" ht="15" hidden="1">
      <c r="B163" s="130"/>
      <c r="C163" s="439"/>
      <c r="D163" s="437"/>
      <c r="E163" s="437"/>
      <c r="F163" s="437"/>
      <c r="G163" s="437"/>
      <c r="H163" s="562"/>
      <c r="I163" s="562"/>
      <c r="J163" s="562"/>
      <c r="K163" s="562"/>
      <c r="L163" s="562"/>
      <c r="M163" s="562"/>
      <c r="N163" s="562"/>
      <c r="O163" s="562"/>
      <c r="P163" s="562"/>
      <c r="Q163" s="562"/>
      <c r="R163" s="562"/>
      <c r="S163" s="562"/>
      <c r="T163" s="562"/>
      <c r="U163" s="562"/>
      <c r="V163" s="562"/>
      <c r="W163" s="562"/>
      <c r="X163" s="562"/>
      <c r="Y163" s="562"/>
      <c r="Z163" s="562"/>
      <c r="AA163" s="562"/>
      <c r="AB163" s="562"/>
      <c r="AC163" s="562"/>
    </row>
    <row r="164" spans="2:39" hidden="1">
      <c r="C164" s="437"/>
      <c r="D164" s="435"/>
      <c r="E164" s="435"/>
      <c r="F164" s="435"/>
      <c r="G164" s="435"/>
      <c r="H164" s="560"/>
      <c r="I164" s="560"/>
      <c r="J164" s="560"/>
      <c r="K164" s="560"/>
      <c r="L164" s="560"/>
      <c r="M164" s="560"/>
      <c r="N164" s="560"/>
      <c r="O164" s="560"/>
      <c r="P164" s="560"/>
      <c r="Q164" s="560"/>
      <c r="R164" s="560"/>
      <c r="S164" s="560"/>
      <c r="T164" s="560"/>
      <c r="U164" s="560"/>
      <c r="V164" s="560"/>
      <c r="W164" s="560"/>
      <c r="X164" s="560"/>
      <c r="Y164" s="560"/>
      <c r="Z164" s="560"/>
      <c r="AA164" s="560"/>
      <c r="AB164" s="560"/>
      <c r="AC164" s="560"/>
    </row>
    <row r="165" spans="2:39" ht="15" hidden="1" customHeight="1">
      <c r="B165" s="440" t="s">
        <v>266</v>
      </c>
    </row>
    <row r="166" spans="2:39" ht="15" hidden="1">
      <c r="B166" s="130" t="s">
        <v>69</v>
      </c>
      <c r="C166" s="147"/>
      <c r="D166" s="147"/>
      <c r="E166" s="147"/>
      <c r="F166" s="147"/>
      <c r="G166" s="147"/>
      <c r="H166" s="479"/>
      <c r="I166" s="479"/>
      <c r="J166" s="479"/>
      <c r="K166" s="479"/>
      <c r="L166" s="479"/>
      <c r="M166" s="479"/>
      <c r="N166" s="479"/>
      <c r="O166" s="479"/>
      <c r="P166" s="479"/>
      <c r="Q166" s="479"/>
      <c r="R166" s="479"/>
      <c r="S166" s="479"/>
      <c r="T166" s="479"/>
      <c r="U166" s="479"/>
      <c r="V166" s="479"/>
      <c r="W166" s="479"/>
      <c r="X166" s="479"/>
      <c r="Y166" s="479"/>
      <c r="Z166" s="479"/>
      <c r="AA166" s="479"/>
      <c r="AB166" s="479"/>
      <c r="AC166" s="479"/>
    </row>
    <row r="167" spans="2:39" ht="15" hidden="1">
      <c r="B167" s="130" t="s">
        <v>84</v>
      </c>
      <c r="C167" s="147">
        <v>0</v>
      </c>
      <c r="D167" s="147">
        <v>1</v>
      </c>
      <c r="E167" s="147">
        <v>2</v>
      </c>
      <c r="F167" s="147">
        <v>3</v>
      </c>
      <c r="G167" s="147">
        <v>4</v>
      </c>
      <c r="H167" s="479">
        <v>5</v>
      </c>
      <c r="I167" s="479">
        <v>6</v>
      </c>
      <c r="J167" s="479">
        <v>7</v>
      </c>
      <c r="K167" s="479">
        <v>8</v>
      </c>
      <c r="L167" s="479">
        <v>9</v>
      </c>
      <c r="M167" s="479">
        <v>10</v>
      </c>
      <c r="N167" s="479">
        <v>11</v>
      </c>
      <c r="O167" s="479">
        <v>12</v>
      </c>
      <c r="P167" s="479">
        <v>13</v>
      </c>
      <c r="Q167" s="479">
        <v>14</v>
      </c>
      <c r="R167" s="479">
        <v>15</v>
      </c>
      <c r="S167" s="479">
        <v>16</v>
      </c>
      <c r="T167" s="479">
        <v>17</v>
      </c>
      <c r="U167" s="479">
        <v>18</v>
      </c>
      <c r="V167" s="479">
        <v>19</v>
      </c>
      <c r="W167" s="479">
        <v>20</v>
      </c>
      <c r="X167" s="479">
        <v>21</v>
      </c>
      <c r="Y167" s="479">
        <v>22</v>
      </c>
      <c r="Z167" s="479">
        <v>23</v>
      </c>
      <c r="AA167" s="479">
        <v>24</v>
      </c>
      <c r="AB167" s="479">
        <v>25</v>
      </c>
      <c r="AC167" s="479">
        <v>26</v>
      </c>
    </row>
    <row r="168" spans="2:39" ht="15" hidden="1">
      <c r="B168" s="130" t="s">
        <v>62</v>
      </c>
      <c r="C168" s="147">
        <f>C170</f>
        <v>0</v>
      </c>
      <c r="D168" s="147">
        <f>C170+1</f>
        <v>1</v>
      </c>
      <c r="E168" s="147">
        <f t="shared" ref="E168:AC168" si="32">D170+1</f>
        <v>1018</v>
      </c>
      <c r="F168" s="147">
        <f t="shared" si="32"/>
        <v>2036</v>
      </c>
      <c r="G168" s="147">
        <f t="shared" si="32"/>
        <v>2262</v>
      </c>
      <c r="H168" s="479">
        <f t="shared" si="32"/>
        <v>3016</v>
      </c>
      <c r="I168" s="479">
        <f t="shared" si="32"/>
        <v>3769</v>
      </c>
      <c r="J168" s="479">
        <f t="shared" si="32"/>
        <v>4523</v>
      </c>
      <c r="K168" s="479">
        <f t="shared" si="32"/>
        <v>5277</v>
      </c>
      <c r="L168" s="479">
        <f t="shared" si="32"/>
        <v>6030</v>
      </c>
      <c r="M168" s="479">
        <f t="shared" si="32"/>
        <v>6784</v>
      </c>
      <c r="N168" s="479">
        <f t="shared" si="32"/>
        <v>7538</v>
      </c>
      <c r="O168" s="479">
        <f t="shared" si="32"/>
        <v>8291</v>
      </c>
      <c r="P168" s="479">
        <f t="shared" si="32"/>
        <v>9045</v>
      </c>
      <c r="Q168" s="479">
        <f t="shared" si="32"/>
        <v>9798</v>
      </c>
      <c r="R168" s="479">
        <f t="shared" si="32"/>
        <v>10552</v>
      </c>
      <c r="S168" s="479">
        <f t="shared" si="32"/>
        <v>11306</v>
      </c>
      <c r="T168" s="479">
        <f t="shared" si="32"/>
        <v>12059</v>
      </c>
      <c r="U168" s="479">
        <f t="shared" si="32"/>
        <v>12813</v>
      </c>
      <c r="V168" s="479">
        <f t="shared" si="32"/>
        <v>13567</v>
      </c>
      <c r="W168" s="479">
        <f t="shared" si="32"/>
        <v>14320</v>
      </c>
      <c r="X168" s="479">
        <f t="shared" si="32"/>
        <v>15074</v>
      </c>
      <c r="Y168" s="479">
        <f t="shared" si="32"/>
        <v>15828</v>
      </c>
      <c r="Z168" s="479">
        <f t="shared" si="32"/>
        <v>16581</v>
      </c>
      <c r="AA168" s="479">
        <f t="shared" si="32"/>
        <v>17335</v>
      </c>
      <c r="AB168" s="479">
        <f t="shared" si="32"/>
        <v>18089</v>
      </c>
      <c r="AC168" s="479">
        <f t="shared" si="32"/>
        <v>18842</v>
      </c>
    </row>
    <row r="169" spans="2:39" ht="15" hidden="1">
      <c r="B169" s="130" t="s">
        <v>59</v>
      </c>
      <c r="C169" s="147" t="s">
        <v>59</v>
      </c>
      <c r="D169" s="147" t="s">
        <v>59</v>
      </c>
      <c r="E169" s="147" t="s">
        <v>59</v>
      </c>
      <c r="F169" s="147" t="s">
        <v>59</v>
      </c>
      <c r="G169" s="147" t="s">
        <v>59</v>
      </c>
      <c r="H169" s="479" t="s">
        <v>59</v>
      </c>
      <c r="I169" s="479" t="s">
        <v>59</v>
      </c>
      <c r="J169" s="479" t="s">
        <v>59</v>
      </c>
      <c r="K169" s="479" t="s">
        <v>59</v>
      </c>
      <c r="L169" s="479" t="s">
        <v>59</v>
      </c>
      <c r="M169" s="479" t="s">
        <v>59</v>
      </c>
      <c r="N169" s="479" t="s">
        <v>59</v>
      </c>
      <c r="O169" s="479" t="s">
        <v>59</v>
      </c>
      <c r="P169" s="479" t="s">
        <v>59</v>
      </c>
      <c r="Q169" s="479" t="s">
        <v>59</v>
      </c>
      <c r="R169" s="479" t="s">
        <v>59</v>
      </c>
      <c r="S169" s="479" t="s">
        <v>59</v>
      </c>
      <c r="T169" s="479" t="s">
        <v>59</v>
      </c>
      <c r="U169" s="479" t="s">
        <v>59</v>
      </c>
      <c r="V169" s="479" t="s">
        <v>59</v>
      </c>
      <c r="W169" s="479" t="s">
        <v>59</v>
      </c>
      <c r="X169" s="479" t="s">
        <v>59</v>
      </c>
      <c r="Y169" s="479" t="s">
        <v>59</v>
      </c>
      <c r="Z169" s="479" t="s">
        <v>59</v>
      </c>
      <c r="AA169" s="479" t="s">
        <v>59</v>
      </c>
      <c r="AB169" s="479" t="s">
        <v>59</v>
      </c>
      <c r="AC169" s="479" t="s">
        <v>59</v>
      </c>
      <c r="AE169" s="479" t="s">
        <v>268</v>
      </c>
    </row>
    <row r="170" spans="2:39" ht="15" hidden="1">
      <c r="B170" s="130" t="s">
        <v>49</v>
      </c>
      <c r="C170" s="437">
        <f t="shared" ref="C170:AB170" si="33">ROUND(C$159*(1+C153),0)</f>
        <v>0</v>
      </c>
      <c r="D170" s="437">
        <f t="shared" si="33"/>
        <v>1017</v>
      </c>
      <c r="E170" s="437">
        <f t="shared" si="33"/>
        <v>2035</v>
      </c>
      <c r="F170" s="437">
        <f t="shared" si="33"/>
        <v>2261</v>
      </c>
      <c r="G170" s="437">
        <f t="shared" si="33"/>
        <v>3015</v>
      </c>
      <c r="H170" s="562">
        <f t="shared" si="33"/>
        <v>3768</v>
      </c>
      <c r="I170" s="562">
        <f t="shared" si="33"/>
        <v>4522</v>
      </c>
      <c r="J170" s="562">
        <f t="shared" si="33"/>
        <v>5276</v>
      </c>
      <c r="K170" s="562">
        <f t="shared" si="33"/>
        <v>6029</v>
      </c>
      <c r="L170" s="562">
        <f t="shared" si="33"/>
        <v>6783</v>
      </c>
      <c r="M170" s="562">
        <f t="shared" si="33"/>
        <v>7537</v>
      </c>
      <c r="N170" s="562">
        <f t="shared" si="33"/>
        <v>8290</v>
      </c>
      <c r="O170" s="562">
        <f t="shared" si="33"/>
        <v>9044</v>
      </c>
      <c r="P170" s="562">
        <f t="shared" si="33"/>
        <v>9797</v>
      </c>
      <c r="Q170" s="562">
        <f t="shared" si="33"/>
        <v>10551</v>
      </c>
      <c r="R170" s="562">
        <f t="shared" si="33"/>
        <v>11305</v>
      </c>
      <c r="S170" s="562">
        <f t="shared" si="33"/>
        <v>12058</v>
      </c>
      <c r="T170" s="562">
        <f t="shared" si="33"/>
        <v>12812</v>
      </c>
      <c r="U170" s="562">
        <f t="shared" si="33"/>
        <v>13566</v>
      </c>
      <c r="V170" s="562">
        <f t="shared" si="33"/>
        <v>14319</v>
      </c>
      <c r="W170" s="562">
        <f t="shared" si="33"/>
        <v>15073</v>
      </c>
      <c r="X170" s="562">
        <f t="shared" si="33"/>
        <v>15827</v>
      </c>
      <c r="Y170" s="562">
        <f t="shared" si="33"/>
        <v>16580</v>
      </c>
      <c r="Z170" s="562">
        <f t="shared" si="33"/>
        <v>17334</v>
      </c>
      <c r="AA170" s="562">
        <f t="shared" si="33"/>
        <v>18088</v>
      </c>
      <c r="AB170" s="562">
        <f t="shared" si="33"/>
        <v>18841</v>
      </c>
      <c r="AC170" s="562">
        <f>AE170*2</f>
        <v>41086</v>
      </c>
      <c r="AE170" s="562">
        <f>ROUND(AE$159*(1+AC153),0)</f>
        <v>20543</v>
      </c>
    </row>
    <row r="171" spans="2:39" s="130" customFormat="1" ht="15" hidden="1">
      <c r="B171" s="130" t="s">
        <v>50</v>
      </c>
      <c r="C171" s="150" t="s">
        <v>0</v>
      </c>
      <c r="D171" s="441">
        <f t="shared" ref="D171:AC171" si="34">D160/(D170-(D168-1))</f>
        <v>82.483775811209441</v>
      </c>
      <c r="E171" s="441">
        <f t="shared" si="34"/>
        <v>116.71611001964637</v>
      </c>
      <c r="F171" s="441">
        <f t="shared" si="34"/>
        <v>535.21681415929208</v>
      </c>
      <c r="G171" s="441">
        <f t="shared" si="34"/>
        <v>150.4628647214854</v>
      </c>
      <c r="H171" s="563">
        <f t="shared" si="34"/>
        <v>115.27490039840637</v>
      </c>
      <c r="I171" s="563">
        <f t="shared" si="34"/>
        <v>89.641909814323611</v>
      </c>
      <c r="J171" s="563">
        <f t="shared" si="34"/>
        <v>59.680371352785144</v>
      </c>
      <c r="K171" s="563">
        <f t="shared" si="34"/>
        <v>47.017264276228417</v>
      </c>
      <c r="L171" s="563">
        <f t="shared" si="34"/>
        <v>29.687002652519894</v>
      </c>
      <c r="M171" s="563">
        <f t="shared" si="34"/>
        <v>25.698938992042439</v>
      </c>
      <c r="N171" s="563">
        <f t="shared" si="34"/>
        <v>15.845949535192563</v>
      </c>
      <c r="O171" s="563">
        <f t="shared" si="34"/>
        <v>15.169761273209549</v>
      </c>
      <c r="P171" s="563">
        <f t="shared" si="34"/>
        <v>9.5590969455511292</v>
      </c>
      <c r="Q171" s="563">
        <f t="shared" si="34"/>
        <v>9.6100795755968171</v>
      </c>
      <c r="R171" s="563">
        <f t="shared" si="34"/>
        <v>6.319628647214854</v>
      </c>
      <c r="S171" s="563">
        <f t="shared" si="34"/>
        <v>6.6454183266932274</v>
      </c>
      <c r="T171" s="563">
        <f t="shared" si="34"/>
        <v>4.56763925729443</v>
      </c>
      <c r="U171" s="563">
        <f t="shared" si="34"/>
        <v>4.8726790450928386</v>
      </c>
      <c r="V171" s="563">
        <f t="shared" si="34"/>
        <v>3.4143426294820718</v>
      </c>
      <c r="W171" s="563">
        <f t="shared" si="34"/>
        <v>3.9111405835543764</v>
      </c>
      <c r="X171" s="563">
        <f t="shared" si="34"/>
        <v>3.6631299734748008</v>
      </c>
      <c r="Y171" s="563">
        <f t="shared" si="34"/>
        <v>3.5232403718459495</v>
      </c>
      <c r="Z171" s="563">
        <f t="shared" si="34"/>
        <v>3.3209549071618039</v>
      </c>
      <c r="AA171" s="563">
        <f t="shared" si="34"/>
        <v>3.0092838196286471</v>
      </c>
      <c r="AB171" s="563">
        <f t="shared" si="34"/>
        <v>2.1686586985391765</v>
      </c>
      <c r="AC171" s="563">
        <f t="shared" si="34"/>
        <v>0.52429759496516071</v>
      </c>
      <c r="AD171" s="564"/>
      <c r="AE171" s="564"/>
      <c r="AF171" s="564"/>
      <c r="AG171" s="564"/>
      <c r="AH171" s="564"/>
      <c r="AI171" s="564"/>
      <c r="AJ171" s="564"/>
      <c r="AK171" s="564"/>
      <c r="AL171" s="564"/>
      <c r="AM171" s="564"/>
    </row>
    <row r="172" spans="2:39" ht="15" hidden="1">
      <c r="B172" s="130" t="str">
        <f>B170</f>
        <v>New max quantity for those customers</v>
      </c>
      <c r="C172" s="437">
        <f>C170</f>
        <v>0</v>
      </c>
      <c r="D172" s="437">
        <f t="shared" ref="D172:AC172" si="35">D170</f>
        <v>1017</v>
      </c>
      <c r="E172" s="437">
        <f t="shared" si="35"/>
        <v>2035</v>
      </c>
      <c r="F172" s="437">
        <f t="shared" si="35"/>
        <v>2261</v>
      </c>
      <c r="G172" s="437">
        <f t="shared" si="35"/>
        <v>3015</v>
      </c>
      <c r="H172" s="562">
        <f t="shared" si="35"/>
        <v>3768</v>
      </c>
      <c r="I172" s="562">
        <f t="shared" si="35"/>
        <v>4522</v>
      </c>
      <c r="J172" s="562">
        <f t="shared" si="35"/>
        <v>5276</v>
      </c>
      <c r="K172" s="562">
        <f t="shared" si="35"/>
        <v>6029</v>
      </c>
      <c r="L172" s="562">
        <f t="shared" si="35"/>
        <v>6783</v>
      </c>
      <c r="M172" s="562">
        <f t="shared" si="35"/>
        <v>7537</v>
      </c>
      <c r="N172" s="562">
        <f t="shared" si="35"/>
        <v>8290</v>
      </c>
      <c r="O172" s="562">
        <f t="shared" si="35"/>
        <v>9044</v>
      </c>
      <c r="P172" s="562">
        <f t="shared" si="35"/>
        <v>9797</v>
      </c>
      <c r="Q172" s="562">
        <f t="shared" si="35"/>
        <v>10551</v>
      </c>
      <c r="R172" s="562">
        <f t="shared" si="35"/>
        <v>11305</v>
      </c>
      <c r="S172" s="562">
        <f t="shared" si="35"/>
        <v>12058</v>
      </c>
      <c r="T172" s="562">
        <f t="shared" si="35"/>
        <v>12812</v>
      </c>
      <c r="U172" s="562">
        <f t="shared" si="35"/>
        <v>13566</v>
      </c>
      <c r="V172" s="562">
        <f t="shared" si="35"/>
        <v>14319</v>
      </c>
      <c r="W172" s="562">
        <f t="shared" si="35"/>
        <v>15073</v>
      </c>
      <c r="X172" s="562">
        <f t="shared" si="35"/>
        <v>15827</v>
      </c>
      <c r="Y172" s="562">
        <f t="shared" si="35"/>
        <v>16580</v>
      </c>
      <c r="Z172" s="562">
        <f t="shared" si="35"/>
        <v>17334</v>
      </c>
      <c r="AA172" s="562">
        <f t="shared" si="35"/>
        <v>18088</v>
      </c>
      <c r="AB172" s="562">
        <f t="shared" si="35"/>
        <v>18841</v>
      </c>
      <c r="AC172" s="562">
        <f t="shared" si="35"/>
        <v>41086</v>
      </c>
    </row>
    <row r="173" spans="2:39" ht="15" hidden="1">
      <c r="B173" s="130" t="s">
        <v>55</v>
      </c>
      <c r="C173" s="147">
        <f t="shared" ref="C173:AC174" si="36">C160</f>
        <v>67031</v>
      </c>
      <c r="D173" s="147">
        <f t="shared" si="36"/>
        <v>83886</v>
      </c>
      <c r="E173" s="147">
        <f t="shared" si="36"/>
        <v>118817</v>
      </c>
      <c r="F173" s="147">
        <f t="shared" si="36"/>
        <v>120959</v>
      </c>
      <c r="G173" s="147">
        <f t="shared" si="36"/>
        <v>113449</v>
      </c>
      <c r="H173" s="479">
        <f t="shared" si="36"/>
        <v>86802</v>
      </c>
      <c r="I173" s="479">
        <f t="shared" si="36"/>
        <v>67590</v>
      </c>
      <c r="J173" s="479">
        <f t="shared" si="36"/>
        <v>44999</v>
      </c>
      <c r="K173" s="479">
        <f t="shared" si="36"/>
        <v>35404</v>
      </c>
      <c r="L173" s="479">
        <f t="shared" si="36"/>
        <v>22384</v>
      </c>
      <c r="M173" s="479">
        <f t="shared" si="36"/>
        <v>19377</v>
      </c>
      <c r="N173" s="479">
        <f t="shared" si="36"/>
        <v>11932</v>
      </c>
      <c r="O173" s="479">
        <f t="shared" si="36"/>
        <v>11438</v>
      </c>
      <c r="P173" s="479">
        <f t="shared" si="36"/>
        <v>7198</v>
      </c>
      <c r="Q173" s="479">
        <f t="shared" si="36"/>
        <v>7246</v>
      </c>
      <c r="R173" s="479">
        <f t="shared" si="36"/>
        <v>4765</v>
      </c>
      <c r="S173" s="479">
        <f t="shared" si="36"/>
        <v>5004</v>
      </c>
      <c r="T173" s="479">
        <f t="shared" si="36"/>
        <v>3444</v>
      </c>
      <c r="U173" s="479">
        <f t="shared" si="36"/>
        <v>3674</v>
      </c>
      <c r="V173" s="479">
        <f t="shared" si="36"/>
        <v>2571</v>
      </c>
      <c r="W173" s="479">
        <f t="shared" si="36"/>
        <v>2949</v>
      </c>
      <c r="X173" s="479">
        <f t="shared" si="36"/>
        <v>2762</v>
      </c>
      <c r="Y173" s="479">
        <f t="shared" si="36"/>
        <v>2653</v>
      </c>
      <c r="Z173" s="479">
        <f t="shared" si="36"/>
        <v>2504</v>
      </c>
      <c r="AA173" s="479">
        <f t="shared" si="36"/>
        <v>2269</v>
      </c>
      <c r="AB173" s="479">
        <f t="shared" si="36"/>
        <v>1633</v>
      </c>
      <c r="AC173" s="479">
        <f t="shared" si="36"/>
        <v>11663</v>
      </c>
    </row>
    <row r="174" spans="2:39" ht="15" hidden="1">
      <c r="B174" s="130" t="s">
        <v>56</v>
      </c>
      <c r="C174" s="442">
        <f t="shared" si="36"/>
        <v>67031</v>
      </c>
      <c r="D174" s="442">
        <f t="shared" si="36"/>
        <v>150917</v>
      </c>
      <c r="E174" s="442">
        <f t="shared" si="36"/>
        <v>269734</v>
      </c>
      <c r="F174" s="442">
        <f t="shared" si="36"/>
        <v>390693</v>
      </c>
      <c r="G174" s="442">
        <f t="shared" si="36"/>
        <v>504142</v>
      </c>
      <c r="H174" s="565">
        <f t="shared" si="36"/>
        <v>590944</v>
      </c>
      <c r="I174" s="565">
        <f t="shared" si="36"/>
        <v>658534</v>
      </c>
      <c r="J174" s="565">
        <f t="shared" si="36"/>
        <v>703533</v>
      </c>
      <c r="K174" s="565">
        <f t="shared" si="36"/>
        <v>738937</v>
      </c>
      <c r="L174" s="565">
        <f t="shared" si="36"/>
        <v>761321</v>
      </c>
      <c r="M174" s="565">
        <f t="shared" si="36"/>
        <v>780698</v>
      </c>
      <c r="N174" s="565">
        <f t="shared" si="36"/>
        <v>792630</v>
      </c>
      <c r="O174" s="565">
        <f t="shared" si="36"/>
        <v>804068</v>
      </c>
      <c r="P174" s="565">
        <f t="shared" si="36"/>
        <v>811266</v>
      </c>
      <c r="Q174" s="565">
        <f t="shared" si="36"/>
        <v>818512</v>
      </c>
      <c r="R174" s="565">
        <f t="shared" si="36"/>
        <v>823277</v>
      </c>
      <c r="S174" s="565">
        <f t="shared" si="36"/>
        <v>828281</v>
      </c>
      <c r="T174" s="565">
        <f t="shared" si="36"/>
        <v>831725</v>
      </c>
      <c r="U174" s="565">
        <f t="shared" si="36"/>
        <v>835399</v>
      </c>
      <c r="V174" s="565">
        <f t="shared" si="36"/>
        <v>837970</v>
      </c>
      <c r="W174" s="565">
        <f t="shared" si="36"/>
        <v>840919</v>
      </c>
      <c r="X174" s="565">
        <f t="shared" si="36"/>
        <v>843681</v>
      </c>
      <c r="Y174" s="565">
        <f t="shared" si="36"/>
        <v>846334</v>
      </c>
      <c r="Z174" s="565">
        <f t="shared" si="36"/>
        <v>848838</v>
      </c>
      <c r="AA174" s="565">
        <f t="shared" si="36"/>
        <v>851107</v>
      </c>
      <c r="AB174" s="565">
        <f t="shared" si="36"/>
        <v>852740</v>
      </c>
      <c r="AC174" s="565">
        <f t="shared" si="36"/>
        <v>864403</v>
      </c>
    </row>
    <row r="175" spans="2:39" ht="15" hidden="1">
      <c r="B175" s="130"/>
      <c r="C175" s="437"/>
      <c r="D175" s="437"/>
      <c r="E175" s="437"/>
      <c r="F175" s="437"/>
      <c r="G175" s="437"/>
      <c r="H175" s="562"/>
      <c r="I175" s="562"/>
      <c r="J175" s="562"/>
      <c r="K175" s="562"/>
      <c r="L175" s="562"/>
      <c r="M175" s="562"/>
      <c r="N175" s="562"/>
      <c r="O175" s="562"/>
      <c r="P175" s="562"/>
      <c r="Q175" s="562"/>
      <c r="R175" s="562"/>
      <c r="S175" s="562"/>
      <c r="T175" s="562"/>
      <c r="U175" s="562"/>
      <c r="V175" s="562"/>
      <c r="W175" s="562"/>
      <c r="X175" s="562"/>
      <c r="Y175" s="562"/>
      <c r="Z175" s="562"/>
      <c r="AA175" s="562"/>
      <c r="AB175" s="562"/>
      <c r="AC175" s="562"/>
    </row>
    <row r="176" spans="2:39" ht="15" hidden="1">
      <c r="B176" s="130" t="s">
        <v>53</v>
      </c>
      <c r="C176" s="437">
        <v>0</v>
      </c>
      <c r="D176" s="435">
        <v>1000</v>
      </c>
      <c r="E176" s="435">
        <v>2000</v>
      </c>
      <c r="F176" s="435">
        <v>3000</v>
      </c>
      <c r="G176" s="435">
        <v>4000</v>
      </c>
      <c r="H176" s="560">
        <v>5000</v>
      </c>
      <c r="I176" s="560">
        <v>6000</v>
      </c>
      <c r="J176" s="560">
        <v>7000</v>
      </c>
      <c r="K176" s="560">
        <v>8000</v>
      </c>
      <c r="L176" s="560">
        <v>9000</v>
      </c>
      <c r="M176" s="560">
        <v>10000</v>
      </c>
      <c r="N176" s="560">
        <v>11000</v>
      </c>
      <c r="O176" s="560">
        <v>12000</v>
      </c>
      <c r="P176" s="560">
        <v>13000</v>
      </c>
      <c r="Q176" s="560">
        <v>14000</v>
      </c>
      <c r="R176" s="560">
        <v>15000</v>
      </c>
      <c r="S176" s="560">
        <v>16000</v>
      </c>
      <c r="T176" s="560">
        <v>17000</v>
      </c>
      <c r="U176" s="560">
        <v>18000</v>
      </c>
      <c r="V176" s="560">
        <v>19000</v>
      </c>
      <c r="W176" s="560">
        <v>20000</v>
      </c>
      <c r="X176" s="560">
        <v>21000</v>
      </c>
      <c r="Y176" s="560">
        <v>22000</v>
      </c>
      <c r="Z176" s="560">
        <v>23000</v>
      </c>
      <c r="AA176" s="560">
        <v>24000</v>
      </c>
      <c r="AB176" s="560">
        <v>25000</v>
      </c>
      <c r="AC176" s="560">
        <f>AC170</f>
        <v>41086</v>
      </c>
    </row>
    <row r="177" spans="2:39" s="445" customFormat="1" ht="15" hidden="1">
      <c r="B177" s="443" t="s">
        <v>66</v>
      </c>
      <c r="C177" s="444">
        <f t="shared" ref="C177:AC177" si="37">IF(C170&lt;=C159,C176,IF(C170&lt;=D159,C176+1000,IF(C170&lt;=E159,C176+2000,C176+3000)))</f>
        <v>0</v>
      </c>
      <c r="D177" s="444">
        <f t="shared" si="37"/>
        <v>2000</v>
      </c>
      <c r="E177" s="444">
        <f t="shared" si="37"/>
        <v>3000</v>
      </c>
      <c r="F177" s="444">
        <f t="shared" si="37"/>
        <v>3000</v>
      </c>
      <c r="G177" s="444">
        <f t="shared" si="37"/>
        <v>4000</v>
      </c>
      <c r="H177" s="566">
        <f t="shared" si="37"/>
        <v>5000</v>
      </c>
      <c r="I177" s="566">
        <f t="shared" si="37"/>
        <v>6000</v>
      </c>
      <c r="J177" s="566">
        <f t="shared" si="37"/>
        <v>7000</v>
      </c>
      <c r="K177" s="566">
        <f t="shared" si="37"/>
        <v>8000</v>
      </c>
      <c r="L177" s="566">
        <f t="shared" si="37"/>
        <v>9000</v>
      </c>
      <c r="M177" s="566">
        <f t="shared" si="37"/>
        <v>10000</v>
      </c>
      <c r="N177" s="566">
        <f t="shared" si="37"/>
        <v>11000</v>
      </c>
      <c r="O177" s="566">
        <f t="shared" si="37"/>
        <v>12000</v>
      </c>
      <c r="P177" s="566">
        <f t="shared" si="37"/>
        <v>13000</v>
      </c>
      <c r="Q177" s="566">
        <f t="shared" si="37"/>
        <v>14000</v>
      </c>
      <c r="R177" s="566">
        <f t="shared" si="37"/>
        <v>15000</v>
      </c>
      <c r="S177" s="566">
        <f t="shared" si="37"/>
        <v>16000</v>
      </c>
      <c r="T177" s="566">
        <f t="shared" si="37"/>
        <v>17000</v>
      </c>
      <c r="U177" s="566">
        <f t="shared" si="37"/>
        <v>18000</v>
      </c>
      <c r="V177" s="566">
        <f t="shared" si="37"/>
        <v>19000</v>
      </c>
      <c r="W177" s="566">
        <f t="shared" si="37"/>
        <v>20000</v>
      </c>
      <c r="X177" s="566">
        <f t="shared" si="37"/>
        <v>21000</v>
      </c>
      <c r="Y177" s="566">
        <f t="shared" si="37"/>
        <v>22000</v>
      </c>
      <c r="Z177" s="566">
        <f t="shared" si="37"/>
        <v>23000</v>
      </c>
      <c r="AA177" s="566">
        <f t="shared" si="37"/>
        <v>24000</v>
      </c>
      <c r="AB177" s="566">
        <f t="shared" si="37"/>
        <v>25000</v>
      </c>
      <c r="AC177" s="566">
        <f t="shared" si="37"/>
        <v>41086</v>
      </c>
      <c r="AD177" s="567"/>
      <c r="AE177" s="567"/>
      <c r="AF177" s="567"/>
      <c r="AG177" s="567"/>
      <c r="AH177" s="567"/>
      <c r="AI177" s="567"/>
      <c r="AJ177" s="567"/>
      <c r="AK177" s="567"/>
      <c r="AL177" s="567"/>
      <c r="AM177" s="567"/>
    </row>
    <row r="178" spans="2:39" s="445" customFormat="1" ht="15" hidden="1">
      <c r="B178" s="443"/>
      <c r="C178" s="444"/>
      <c r="D178" s="444"/>
      <c r="E178" s="444"/>
      <c r="F178" s="444"/>
      <c r="G178" s="444"/>
      <c r="H178" s="566"/>
      <c r="I178" s="566"/>
      <c r="J178" s="566"/>
      <c r="K178" s="566"/>
      <c r="L178" s="566"/>
      <c r="M178" s="566"/>
      <c r="N178" s="566"/>
      <c r="O178" s="566"/>
      <c r="P178" s="566"/>
      <c r="Q178" s="566"/>
      <c r="R178" s="566"/>
      <c r="S178" s="566"/>
      <c r="T178" s="566"/>
      <c r="U178" s="566"/>
      <c r="V178" s="566"/>
      <c r="W178" s="566"/>
      <c r="X178" s="566"/>
      <c r="Y178" s="566"/>
      <c r="Z178" s="566"/>
      <c r="AA178" s="566"/>
      <c r="AB178" s="566"/>
      <c r="AC178" s="566"/>
      <c r="AD178" s="567"/>
      <c r="AE178" s="567"/>
      <c r="AF178" s="567"/>
      <c r="AG178" s="567"/>
      <c r="AH178" s="567"/>
      <c r="AI178" s="567"/>
      <c r="AJ178" s="567"/>
      <c r="AK178" s="567"/>
      <c r="AL178" s="567"/>
      <c r="AM178" s="567"/>
    </row>
    <row r="179" spans="2:39" s="445" customFormat="1" ht="15" hidden="1">
      <c r="B179" s="443" t="s">
        <v>373</v>
      </c>
      <c r="C179" s="444"/>
      <c r="D179" s="444"/>
      <c r="E179" s="444"/>
      <c r="F179" s="444"/>
      <c r="G179" s="444"/>
      <c r="H179" s="566"/>
      <c r="I179" s="566"/>
      <c r="J179" s="566"/>
      <c r="K179" s="566"/>
      <c r="L179" s="566"/>
      <c r="M179" s="566"/>
      <c r="N179" s="566"/>
      <c r="O179" s="566"/>
      <c r="P179" s="566"/>
      <c r="Q179" s="566"/>
      <c r="R179" s="566"/>
      <c r="S179" s="566"/>
      <c r="T179" s="566"/>
      <c r="U179" s="566"/>
      <c r="V179" s="566"/>
      <c r="W179" s="566"/>
      <c r="X179" s="566"/>
      <c r="Y179" s="566"/>
      <c r="Z179" s="566"/>
      <c r="AA179" s="566"/>
      <c r="AB179" s="566"/>
      <c r="AC179" s="566"/>
      <c r="AD179" s="567"/>
      <c r="AE179" s="567"/>
      <c r="AF179" s="567"/>
      <c r="AG179" s="567"/>
      <c r="AH179" s="567"/>
      <c r="AI179" s="567"/>
      <c r="AJ179" s="567"/>
      <c r="AK179" s="567"/>
      <c r="AL179" s="567"/>
      <c r="AM179" s="567"/>
    </row>
    <row r="180" spans="2:39" s="445" customFormat="1" ht="15" hidden="1">
      <c r="B180" s="443" t="s">
        <v>47</v>
      </c>
      <c r="C180" s="446" t="e">
        <f>ROUND(C$159/(1+(#REF!*#REF!)),0)</f>
        <v>#REF!</v>
      </c>
      <c r="D180" s="446" t="e">
        <f>ROUND(D$159/(1+(#REF!*#REF!)),0)</f>
        <v>#REF!</v>
      </c>
      <c r="E180" s="446" t="e">
        <f>ROUND(E$159/(1+(#REF!*#REF!)),0)</f>
        <v>#REF!</v>
      </c>
      <c r="F180" s="446" t="e">
        <f>ROUND(F$159/(1+(#REF!*#REF!)),0)</f>
        <v>#REF!</v>
      </c>
      <c r="G180" s="446" t="e">
        <f>ROUND(G$159/(1+(#REF!*#REF!)),0)</f>
        <v>#REF!</v>
      </c>
      <c r="H180" s="568" t="e">
        <f>ROUND(H$159/(1+(#REF!*#REF!)),0)</f>
        <v>#REF!</v>
      </c>
      <c r="I180" s="568" t="e">
        <f>ROUND(I$159/(1+(#REF!*#REF!)),0)</f>
        <v>#REF!</v>
      </c>
      <c r="J180" s="568" t="e">
        <f>ROUND(J$159/(1+(#REF!*#REF!)),0)</f>
        <v>#REF!</v>
      </c>
      <c r="K180" s="568" t="e">
        <f>ROUND(K$159/(1+(#REF!*#REF!)),0)</f>
        <v>#REF!</v>
      </c>
      <c r="L180" s="568" t="e">
        <f>ROUND(L$159/(1+(#REF!*#REF!)),0)</f>
        <v>#REF!</v>
      </c>
      <c r="M180" s="568" t="e">
        <f>ROUND(M$159/(1+(#REF!*#REF!)),0)</f>
        <v>#REF!</v>
      </c>
      <c r="N180" s="568" t="e">
        <f>ROUND(N$159/(1+(#REF!*#REF!)),0)</f>
        <v>#REF!</v>
      </c>
      <c r="O180" s="568" t="e">
        <f>ROUND(O$159/(1+(#REF!*#REF!)),0)</f>
        <v>#REF!</v>
      </c>
      <c r="P180" s="568" t="e">
        <f>ROUND(P$159/(1+(#REF!*#REF!)),0)</f>
        <v>#REF!</v>
      </c>
      <c r="Q180" s="568" t="e">
        <f>ROUND(Q$159/(1+(#REF!*#REF!)),0)</f>
        <v>#REF!</v>
      </c>
      <c r="R180" s="568" t="e">
        <f>ROUND(R$159/(1+(#REF!*#REF!)),0)</f>
        <v>#REF!</v>
      </c>
      <c r="S180" s="568" t="e">
        <f>ROUND(S$159/(1+(#REF!*#REF!)),0)</f>
        <v>#REF!</v>
      </c>
      <c r="T180" s="568" t="e">
        <f>ROUND(T$159/(1+(#REF!*#REF!)),0)</f>
        <v>#REF!</v>
      </c>
      <c r="U180" s="568" t="e">
        <f>ROUND(U$159/(1+(#REF!*#REF!)),0)</f>
        <v>#REF!</v>
      </c>
      <c r="V180" s="568" t="e">
        <f>ROUND(V$159/(1+(#REF!*#REF!)),0)</f>
        <v>#REF!</v>
      </c>
      <c r="W180" s="568" t="e">
        <f>ROUND(W$159/(1+(#REF!*#REF!)),0)</f>
        <v>#REF!</v>
      </c>
      <c r="X180" s="568" t="e">
        <f>ROUND(X$159/(1+(#REF!*#REF!)),0)</f>
        <v>#REF!</v>
      </c>
      <c r="Y180" s="568" t="e">
        <f>ROUND(Y$159/(1+(#REF!*#REF!)),0)</f>
        <v>#REF!</v>
      </c>
      <c r="Z180" s="568" t="e">
        <f>ROUND(Z$159/(1+(#REF!*#REF!)),0)</f>
        <v>#REF!</v>
      </c>
      <c r="AA180" s="568" t="e">
        <f>ROUND(AA$159/(1+(#REF!*#REF!)),0)</f>
        <v>#REF!</v>
      </c>
      <c r="AB180" s="568" t="e">
        <f>ROUND(AB$159/(1+(#REF!*#REF!)),0)</f>
        <v>#REF!</v>
      </c>
      <c r="AC180" s="568" t="e">
        <f>ROUND(AC$159/(1+(#REF!*#REF!)),0)</f>
        <v>#REF!</v>
      </c>
      <c r="AD180" s="567"/>
      <c r="AE180" s="567"/>
      <c r="AF180" s="567"/>
      <c r="AG180" s="567"/>
      <c r="AH180" s="567"/>
      <c r="AI180" s="567"/>
      <c r="AJ180" s="567"/>
      <c r="AK180" s="567"/>
      <c r="AL180" s="567"/>
      <c r="AM180" s="567"/>
    </row>
    <row r="181" spans="2:39" s="445" customFormat="1" ht="15" hidden="1">
      <c r="B181" s="443" t="s">
        <v>76</v>
      </c>
      <c r="C181" s="446"/>
      <c r="D181" s="446" t="e">
        <f t="shared" ref="D181:AC181" si="38">IF(C180&gt;C159,C180-C159,0)</f>
        <v>#REF!</v>
      </c>
      <c r="E181" s="446" t="e">
        <f t="shared" si="38"/>
        <v>#REF!</v>
      </c>
      <c r="F181" s="446" t="e">
        <f t="shared" si="38"/>
        <v>#REF!</v>
      </c>
      <c r="G181" s="446" t="e">
        <f t="shared" si="38"/>
        <v>#REF!</v>
      </c>
      <c r="H181" s="568" t="e">
        <f t="shared" si="38"/>
        <v>#REF!</v>
      </c>
      <c r="I181" s="568" t="e">
        <f t="shared" si="38"/>
        <v>#REF!</v>
      </c>
      <c r="J181" s="568" t="e">
        <f t="shared" si="38"/>
        <v>#REF!</v>
      </c>
      <c r="K181" s="568" t="e">
        <f t="shared" si="38"/>
        <v>#REF!</v>
      </c>
      <c r="L181" s="568" t="e">
        <f t="shared" si="38"/>
        <v>#REF!</v>
      </c>
      <c r="M181" s="568" t="e">
        <f t="shared" si="38"/>
        <v>#REF!</v>
      </c>
      <c r="N181" s="568" t="e">
        <f t="shared" si="38"/>
        <v>#REF!</v>
      </c>
      <c r="O181" s="568" t="e">
        <f t="shared" si="38"/>
        <v>#REF!</v>
      </c>
      <c r="P181" s="568" t="e">
        <f t="shared" si="38"/>
        <v>#REF!</v>
      </c>
      <c r="Q181" s="568" t="e">
        <f t="shared" si="38"/>
        <v>#REF!</v>
      </c>
      <c r="R181" s="568" t="e">
        <f t="shared" si="38"/>
        <v>#REF!</v>
      </c>
      <c r="S181" s="568" t="e">
        <f t="shared" si="38"/>
        <v>#REF!</v>
      </c>
      <c r="T181" s="568" t="e">
        <f t="shared" si="38"/>
        <v>#REF!</v>
      </c>
      <c r="U181" s="568" t="e">
        <f t="shared" si="38"/>
        <v>#REF!</v>
      </c>
      <c r="V181" s="568" t="e">
        <f t="shared" si="38"/>
        <v>#REF!</v>
      </c>
      <c r="W181" s="568" t="e">
        <f t="shared" si="38"/>
        <v>#REF!</v>
      </c>
      <c r="X181" s="568" t="e">
        <f t="shared" si="38"/>
        <v>#REF!</v>
      </c>
      <c r="Y181" s="568" t="e">
        <f t="shared" si="38"/>
        <v>#REF!</v>
      </c>
      <c r="Z181" s="568" t="e">
        <f t="shared" si="38"/>
        <v>#REF!</v>
      </c>
      <c r="AA181" s="568" t="e">
        <f t="shared" si="38"/>
        <v>#REF!</v>
      </c>
      <c r="AB181" s="568" t="e">
        <f t="shared" si="38"/>
        <v>#REF!</v>
      </c>
      <c r="AC181" s="568" t="e">
        <f t="shared" si="38"/>
        <v>#REF!</v>
      </c>
      <c r="AD181" s="567"/>
      <c r="AE181" s="567"/>
      <c r="AF181" s="567"/>
      <c r="AG181" s="567"/>
      <c r="AH181" s="567"/>
      <c r="AI181" s="567"/>
      <c r="AJ181" s="567"/>
      <c r="AK181" s="567"/>
      <c r="AL181" s="567"/>
      <c r="AM181" s="567"/>
    </row>
    <row r="182" spans="2:39" s="445" customFormat="1" ht="15" hidden="1">
      <c r="B182" s="443" t="s">
        <v>71</v>
      </c>
      <c r="C182" s="446"/>
      <c r="D182" s="446" t="e">
        <f>IF(D181&gt;0,D171,0)</f>
        <v>#REF!</v>
      </c>
      <c r="E182" s="446" t="e">
        <f>IF(E181&gt;0,E171,0)</f>
        <v>#REF!</v>
      </c>
      <c r="F182" s="446" t="e">
        <f>IF(F181&gt;0,F171,0)</f>
        <v>#REF!</v>
      </c>
      <c r="G182" s="446" t="e">
        <f t="shared" ref="G182:AC182" si="39">IF(G181&gt;0,G171,0)</f>
        <v>#REF!</v>
      </c>
      <c r="H182" s="568" t="e">
        <f t="shared" si="39"/>
        <v>#REF!</v>
      </c>
      <c r="I182" s="568" t="e">
        <f t="shared" si="39"/>
        <v>#REF!</v>
      </c>
      <c r="J182" s="568" t="e">
        <f t="shared" si="39"/>
        <v>#REF!</v>
      </c>
      <c r="K182" s="568" t="e">
        <f t="shared" si="39"/>
        <v>#REF!</v>
      </c>
      <c r="L182" s="568" t="e">
        <f t="shared" si="39"/>
        <v>#REF!</v>
      </c>
      <c r="M182" s="568" t="e">
        <f t="shared" si="39"/>
        <v>#REF!</v>
      </c>
      <c r="N182" s="568" t="e">
        <f t="shared" si="39"/>
        <v>#REF!</v>
      </c>
      <c r="O182" s="568" t="e">
        <f t="shared" si="39"/>
        <v>#REF!</v>
      </c>
      <c r="P182" s="568" t="e">
        <f t="shared" si="39"/>
        <v>#REF!</v>
      </c>
      <c r="Q182" s="568" t="e">
        <f t="shared" si="39"/>
        <v>#REF!</v>
      </c>
      <c r="R182" s="568" t="e">
        <f t="shared" si="39"/>
        <v>#REF!</v>
      </c>
      <c r="S182" s="568" t="e">
        <f t="shared" si="39"/>
        <v>#REF!</v>
      </c>
      <c r="T182" s="568" t="e">
        <f t="shared" si="39"/>
        <v>#REF!</v>
      </c>
      <c r="U182" s="568" t="e">
        <f t="shared" si="39"/>
        <v>#REF!</v>
      </c>
      <c r="V182" s="568" t="e">
        <f t="shared" si="39"/>
        <v>#REF!</v>
      </c>
      <c r="W182" s="568" t="e">
        <f t="shared" si="39"/>
        <v>#REF!</v>
      </c>
      <c r="X182" s="568" t="e">
        <f t="shared" si="39"/>
        <v>#REF!</v>
      </c>
      <c r="Y182" s="568" t="e">
        <f t="shared" si="39"/>
        <v>#REF!</v>
      </c>
      <c r="Z182" s="568" t="e">
        <f t="shared" si="39"/>
        <v>#REF!</v>
      </c>
      <c r="AA182" s="568" t="e">
        <f t="shared" si="39"/>
        <v>#REF!</v>
      </c>
      <c r="AB182" s="568" t="e">
        <f t="shared" si="39"/>
        <v>#REF!</v>
      </c>
      <c r="AC182" s="568" t="e">
        <f t="shared" si="39"/>
        <v>#REF!</v>
      </c>
      <c r="AD182" s="567"/>
      <c r="AE182" s="567"/>
      <c r="AF182" s="567"/>
      <c r="AG182" s="567"/>
      <c r="AH182" s="567"/>
      <c r="AI182" s="567"/>
      <c r="AJ182" s="567"/>
      <c r="AK182" s="567"/>
      <c r="AL182" s="567"/>
      <c r="AM182" s="567"/>
    </row>
    <row r="183" spans="2:39" s="445" customFormat="1" ht="15" hidden="1">
      <c r="B183" s="443" t="s">
        <v>70</v>
      </c>
      <c r="C183" s="446"/>
      <c r="D183" s="446" t="e">
        <f t="shared" ref="D183:AC183" si="40">MIN(D160,ROUND(D182*D181,0))</f>
        <v>#REF!</v>
      </c>
      <c r="E183" s="446" t="e">
        <f t="shared" si="40"/>
        <v>#REF!</v>
      </c>
      <c r="F183" s="446" t="e">
        <f t="shared" si="40"/>
        <v>#REF!</v>
      </c>
      <c r="G183" s="446" t="e">
        <f t="shared" si="40"/>
        <v>#REF!</v>
      </c>
      <c r="H183" s="568" t="e">
        <f t="shared" si="40"/>
        <v>#REF!</v>
      </c>
      <c r="I183" s="568" t="e">
        <f t="shared" si="40"/>
        <v>#REF!</v>
      </c>
      <c r="J183" s="568" t="e">
        <f t="shared" si="40"/>
        <v>#REF!</v>
      </c>
      <c r="K183" s="568" t="e">
        <f t="shared" si="40"/>
        <v>#REF!</v>
      </c>
      <c r="L183" s="568" t="e">
        <f t="shared" si="40"/>
        <v>#REF!</v>
      </c>
      <c r="M183" s="568" t="e">
        <f t="shared" si="40"/>
        <v>#REF!</v>
      </c>
      <c r="N183" s="568" t="e">
        <f t="shared" si="40"/>
        <v>#REF!</v>
      </c>
      <c r="O183" s="568" t="e">
        <f t="shared" si="40"/>
        <v>#REF!</v>
      </c>
      <c r="P183" s="568" t="e">
        <f t="shared" si="40"/>
        <v>#REF!</v>
      </c>
      <c r="Q183" s="568" t="e">
        <f t="shared" si="40"/>
        <v>#REF!</v>
      </c>
      <c r="R183" s="568" t="e">
        <f t="shared" si="40"/>
        <v>#REF!</v>
      </c>
      <c r="S183" s="568" t="e">
        <f t="shared" si="40"/>
        <v>#REF!</v>
      </c>
      <c r="T183" s="568" t="e">
        <f t="shared" si="40"/>
        <v>#REF!</v>
      </c>
      <c r="U183" s="568" t="e">
        <f t="shared" si="40"/>
        <v>#REF!</v>
      </c>
      <c r="V183" s="568" t="e">
        <f t="shared" si="40"/>
        <v>#REF!</v>
      </c>
      <c r="W183" s="568" t="e">
        <f t="shared" si="40"/>
        <v>#REF!</v>
      </c>
      <c r="X183" s="568" t="e">
        <f t="shared" si="40"/>
        <v>#REF!</v>
      </c>
      <c r="Y183" s="568" t="e">
        <f t="shared" si="40"/>
        <v>#REF!</v>
      </c>
      <c r="Z183" s="568" t="e">
        <f t="shared" si="40"/>
        <v>#REF!</v>
      </c>
      <c r="AA183" s="568" t="e">
        <f t="shared" si="40"/>
        <v>#REF!</v>
      </c>
      <c r="AB183" s="568" t="e">
        <f t="shared" si="40"/>
        <v>#REF!</v>
      </c>
      <c r="AC183" s="568" t="e">
        <f t="shared" si="40"/>
        <v>#REF!</v>
      </c>
      <c r="AD183" s="567"/>
      <c r="AE183" s="567"/>
      <c r="AF183" s="567"/>
      <c r="AG183" s="567"/>
      <c r="AH183" s="567"/>
      <c r="AI183" s="567"/>
      <c r="AJ183" s="567"/>
      <c r="AK183" s="567"/>
      <c r="AL183" s="567"/>
      <c r="AM183" s="567"/>
    </row>
    <row r="184" spans="2:39" s="445" customFormat="1" ht="15" hidden="1">
      <c r="B184" s="443" t="s">
        <v>74</v>
      </c>
      <c r="C184" s="446" t="e">
        <f>D183-C183</f>
        <v>#REF!</v>
      </c>
      <c r="D184" s="446" t="e">
        <f>E183-D183</f>
        <v>#REF!</v>
      </c>
      <c r="E184" s="446" t="e">
        <f t="shared" ref="E184:AC184" si="41">F183-E183</f>
        <v>#REF!</v>
      </c>
      <c r="F184" s="446" t="e">
        <f t="shared" si="41"/>
        <v>#REF!</v>
      </c>
      <c r="G184" s="446" t="e">
        <f t="shared" si="41"/>
        <v>#REF!</v>
      </c>
      <c r="H184" s="568" t="e">
        <f t="shared" si="41"/>
        <v>#REF!</v>
      </c>
      <c r="I184" s="568" t="e">
        <f t="shared" si="41"/>
        <v>#REF!</v>
      </c>
      <c r="J184" s="568" t="e">
        <f t="shared" si="41"/>
        <v>#REF!</v>
      </c>
      <c r="K184" s="568" t="e">
        <f t="shared" si="41"/>
        <v>#REF!</v>
      </c>
      <c r="L184" s="568" t="e">
        <f t="shared" si="41"/>
        <v>#REF!</v>
      </c>
      <c r="M184" s="568" t="e">
        <f t="shared" si="41"/>
        <v>#REF!</v>
      </c>
      <c r="N184" s="568" t="e">
        <f t="shared" si="41"/>
        <v>#REF!</v>
      </c>
      <c r="O184" s="568" t="e">
        <f t="shared" si="41"/>
        <v>#REF!</v>
      </c>
      <c r="P184" s="568" t="e">
        <f t="shared" si="41"/>
        <v>#REF!</v>
      </c>
      <c r="Q184" s="568" t="e">
        <f t="shared" si="41"/>
        <v>#REF!</v>
      </c>
      <c r="R184" s="568" t="e">
        <f t="shared" si="41"/>
        <v>#REF!</v>
      </c>
      <c r="S184" s="568" t="e">
        <f t="shared" si="41"/>
        <v>#REF!</v>
      </c>
      <c r="T184" s="568" t="e">
        <f t="shared" si="41"/>
        <v>#REF!</v>
      </c>
      <c r="U184" s="568" t="e">
        <f t="shared" si="41"/>
        <v>#REF!</v>
      </c>
      <c r="V184" s="568" t="e">
        <f t="shared" si="41"/>
        <v>#REF!</v>
      </c>
      <c r="W184" s="568" t="e">
        <f t="shared" si="41"/>
        <v>#REF!</v>
      </c>
      <c r="X184" s="568" t="e">
        <f t="shared" si="41"/>
        <v>#REF!</v>
      </c>
      <c r="Y184" s="568" t="e">
        <f t="shared" si="41"/>
        <v>#REF!</v>
      </c>
      <c r="Z184" s="568" t="e">
        <f t="shared" si="41"/>
        <v>#REF!</v>
      </c>
      <c r="AA184" s="568" t="e">
        <f t="shared" si="41"/>
        <v>#REF!</v>
      </c>
      <c r="AB184" s="568" t="e">
        <f t="shared" si="41"/>
        <v>#REF!</v>
      </c>
      <c r="AC184" s="568" t="e">
        <f t="shared" si="41"/>
        <v>#REF!</v>
      </c>
      <c r="AD184" s="567"/>
      <c r="AE184" s="567"/>
      <c r="AF184" s="567"/>
      <c r="AG184" s="567"/>
      <c r="AH184" s="567"/>
      <c r="AI184" s="567"/>
      <c r="AJ184" s="567"/>
      <c r="AK184" s="567"/>
      <c r="AL184" s="567"/>
      <c r="AM184" s="567"/>
    </row>
    <row r="185" spans="2:39" s="445" customFormat="1" ht="15" hidden="1">
      <c r="B185" s="443"/>
      <c r="C185" s="446"/>
      <c r="D185" s="446"/>
      <c r="E185" s="446"/>
      <c r="F185" s="446"/>
      <c r="G185" s="446"/>
      <c r="H185" s="568"/>
      <c r="I185" s="568"/>
      <c r="J185" s="568"/>
      <c r="K185" s="568"/>
      <c r="L185" s="568"/>
      <c r="M185" s="568"/>
      <c r="N185" s="568"/>
      <c r="O185" s="568"/>
      <c r="P185" s="568"/>
      <c r="Q185" s="568"/>
      <c r="R185" s="568"/>
      <c r="S185" s="568"/>
      <c r="T185" s="568"/>
      <c r="U185" s="568"/>
      <c r="V185" s="568"/>
      <c r="W185" s="568"/>
      <c r="X185" s="568"/>
      <c r="Y185" s="568"/>
      <c r="Z185" s="568"/>
      <c r="AA185" s="568"/>
      <c r="AB185" s="568"/>
      <c r="AC185" s="568"/>
      <c r="AD185" s="567"/>
      <c r="AE185" s="567"/>
      <c r="AF185" s="567"/>
      <c r="AG185" s="567"/>
      <c r="AH185" s="567"/>
      <c r="AI185" s="567"/>
      <c r="AJ185" s="567"/>
      <c r="AK185" s="567"/>
      <c r="AL185" s="567"/>
      <c r="AM185" s="567"/>
    </row>
    <row r="186" spans="2:39" s="445" customFormat="1" ht="15" hidden="1">
      <c r="B186" s="443" t="s">
        <v>72</v>
      </c>
      <c r="D186" s="446"/>
      <c r="E186" s="446"/>
      <c r="F186" s="446"/>
      <c r="G186" s="446"/>
      <c r="H186" s="568"/>
      <c r="I186" s="568"/>
      <c r="J186" s="568"/>
      <c r="K186" s="568"/>
      <c r="L186" s="568"/>
      <c r="M186" s="568"/>
      <c r="N186" s="568"/>
      <c r="O186" s="568"/>
      <c r="P186" s="568"/>
      <c r="Q186" s="568"/>
      <c r="R186" s="568"/>
      <c r="S186" s="568"/>
      <c r="T186" s="568"/>
      <c r="U186" s="568"/>
      <c r="V186" s="568"/>
      <c r="W186" s="568"/>
      <c r="X186" s="568"/>
      <c r="Y186" s="568"/>
      <c r="Z186" s="568"/>
      <c r="AA186" s="568"/>
      <c r="AB186" s="568"/>
      <c r="AC186" s="568"/>
      <c r="AD186" s="567"/>
      <c r="AE186" s="567"/>
      <c r="AF186" s="567"/>
      <c r="AG186" s="567"/>
      <c r="AH186" s="567"/>
      <c r="AI186" s="567"/>
      <c r="AJ186" s="567"/>
      <c r="AK186" s="567"/>
      <c r="AL186" s="567"/>
      <c r="AM186" s="567"/>
    </row>
    <row r="187" spans="2:39" s="445" customFormat="1" ht="15" hidden="1">
      <c r="B187" s="443" t="s">
        <v>73</v>
      </c>
      <c r="C187" s="446" t="e">
        <f>C180</f>
        <v>#REF!</v>
      </c>
      <c r="D187" s="446">
        <f>D170</f>
        <v>1017</v>
      </c>
      <c r="E187" s="446">
        <f t="shared" ref="E187:AC187" si="42">E170</f>
        <v>2035</v>
      </c>
      <c r="F187" s="446">
        <f t="shared" si="42"/>
        <v>2261</v>
      </c>
      <c r="G187" s="446">
        <f t="shared" si="42"/>
        <v>3015</v>
      </c>
      <c r="H187" s="568">
        <f t="shared" si="42"/>
        <v>3768</v>
      </c>
      <c r="I187" s="568">
        <f t="shared" si="42"/>
        <v>4522</v>
      </c>
      <c r="J187" s="568">
        <f t="shared" si="42"/>
        <v>5276</v>
      </c>
      <c r="K187" s="568">
        <f t="shared" si="42"/>
        <v>6029</v>
      </c>
      <c r="L187" s="568">
        <f t="shared" si="42"/>
        <v>6783</v>
      </c>
      <c r="M187" s="568">
        <f t="shared" si="42"/>
        <v>7537</v>
      </c>
      <c r="N187" s="568">
        <f t="shared" si="42"/>
        <v>8290</v>
      </c>
      <c r="O187" s="568">
        <f t="shared" si="42"/>
        <v>9044</v>
      </c>
      <c r="P187" s="568">
        <f t="shared" si="42"/>
        <v>9797</v>
      </c>
      <c r="Q187" s="568">
        <f t="shared" si="42"/>
        <v>10551</v>
      </c>
      <c r="R187" s="568">
        <f t="shared" si="42"/>
        <v>11305</v>
      </c>
      <c r="S187" s="568">
        <f t="shared" si="42"/>
        <v>12058</v>
      </c>
      <c r="T187" s="568">
        <f t="shared" si="42"/>
        <v>12812</v>
      </c>
      <c r="U187" s="568">
        <f t="shared" si="42"/>
        <v>13566</v>
      </c>
      <c r="V187" s="568">
        <f t="shared" si="42"/>
        <v>14319</v>
      </c>
      <c r="W187" s="568">
        <f t="shared" si="42"/>
        <v>15073</v>
      </c>
      <c r="X187" s="568">
        <f t="shared" si="42"/>
        <v>15827</v>
      </c>
      <c r="Y187" s="568">
        <f t="shared" si="42"/>
        <v>16580</v>
      </c>
      <c r="Z187" s="568">
        <f t="shared" si="42"/>
        <v>17334</v>
      </c>
      <c r="AA187" s="568">
        <f t="shared" si="42"/>
        <v>18088</v>
      </c>
      <c r="AB187" s="568">
        <f t="shared" si="42"/>
        <v>18841</v>
      </c>
      <c r="AC187" s="568">
        <f t="shared" si="42"/>
        <v>41086</v>
      </c>
      <c r="AD187" s="567"/>
      <c r="AE187" s="567"/>
      <c r="AF187" s="567"/>
      <c r="AG187" s="567"/>
      <c r="AH187" s="567"/>
      <c r="AI187" s="567"/>
      <c r="AJ187" s="567"/>
      <c r="AK187" s="567"/>
      <c r="AL187" s="567"/>
      <c r="AM187" s="567"/>
    </row>
    <row r="188" spans="2:39" s="445" customFormat="1" ht="15" hidden="1">
      <c r="B188" s="443" t="s">
        <v>75</v>
      </c>
      <c r="C188" s="446" t="e">
        <f t="shared" ref="C188:AC188" si="43">IF(C187&gt;C159,C187-C159,0)</f>
        <v>#REF!</v>
      </c>
      <c r="D188" s="446">
        <f t="shared" si="43"/>
        <v>17</v>
      </c>
      <c r="E188" s="446">
        <f t="shared" si="43"/>
        <v>35</v>
      </c>
      <c r="F188" s="446">
        <f t="shared" si="43"/>
        <v>0</v>
      </c>
      <c r="G188" s="446">
        <f t="shared" si="43"/>
        <v>0</v>
      </c>
      <c r="H188" s="568">
        <f t="shared" si="43"/>
        <v>0</v>
      </c>
      <c r="I188" s="568">
        <f t="shared" si="43"/>
        <v>0</v>
      </c>
      <c r="J188" s="568">
        <f t="shared" si="43"/>
        <v>0</v>
      </c>
      <c r="K188" s="568">
        <f t="shared" si="43"/>
        <v>0</v>
      </c>
      <c r="L188" s="568">
        <f t="shared" si="43"/>
        <v>0</v>
      </c>
      <c r="M188" s="568">
        <f t="shared" si="43"/>
        <v>0</v>
      </c>
      <c r="N188" s="568">
        <f t="shared" si="43"/>
        <v>0</v>
      </c>
      <c r="O188" s="568">
        <f t="shared" si="43"/>
        <v>0</v>
      </c>
      <c r="P188" s="568">
        <f t="shared" si="43"/>
        <v>0</v>
      </c>
      <c r="Q188" s="568">
        <f t="shared" si="43"/>
        <v>0</v>
      </c>
      <c r="R188" s="568">
        <f t="shared" si="43"/>
        <v>0</v>
      </c>
      <c r="S188" s="568">
        <f t="shared" si="43"/>
        <v>0</v>
      </c>
      <c r="T188" s="568">
        <f t="shared" si="43"/>
        <v>0</v>
      </c>
      <c r="U188" s="568">
        <f t="shared" si="43"/>
        <v>0</v>
      </c>
      <c r="V188" s="568">
        <f t="shared" si="43"/>
        <v>0</v>
      </c>
      <c r="W188" s="568">
        <f t="shared" si="43"/>
        <v>0</v>
      </c>
      <c r="X188" s="568">
        <f t="shared" si="43"/>
        <v>0</v>
      </c>
      <c r="Y188" s="568">
        <f t="shared" si="43"/>
        <v>0</v>
      </c>
      <c r="Z188" s="568">
        <f t="shared" si="43"/>
        <v>0</v>
      </c>
      <c r="AA188" s="568">
        <f t="shared" si="43"/>
        <v>0</v>
      </c>
      <c r="AB188" s="568">
        <f t="shared" si="43"/>
        <v>0</v>
      </c>
      <c r="AC188" s="568">
        <f t="shared" si="43"/>
        <v>0</v>
      </c>
      <c r="AD188" s="567"/>
      <c r="AE188" s="567"/>
      <c r="AF188" s="567"/>
      <c r="AG188" s="567"/>
      <c r="AH188" s="567"/>
      <c r="AI188" s="567"/>
      <c r="AJ188" s="567"/>
      <c r="AK188" s="567"/>
      <c r="AL188" s="567"/>
      <c r="AM188" s="567"/>
    </row>
    <row r="189" spans="2:39" s="445" customFormat="1" ht="15" hidden="1">
      <c r="B189" s="443" t="s">
        <v>71</v>
      </c>
      <c r="C189" s="446" t="e">
        <f>IF(C188&gt;0,C171,0)</f>
        <v>#REF!</v>
      </c>
      <c r="D189" s="446">
        <f t="shared" ref="D189:AC189" si="44">IF(D188&gt;0,D171,0)</f>
        <v>82.483775811209441</v>
      </c>
      <c r="E189" s="446">
        <f t="shared" si="44"/>
        <v>116.71611001964637</v>
      </c>
      <c r="F189" s="446">
        <f t="shared" si="44"/>
        <v>0</v>
      </c>
      <c r="G189" s="446">
        <f t="shared" si="44"/>
        <v>0</v>
      </c>
      <c r="H189" s="568">
        <f t="shared" si="44"/>
        <v>0</v>
      </c>
      <c r="I189" s="568">
        <f t="shared" si="44"/>
        <v>0</v>
      </c>
      <c r="J189" s="568">
        <f t="shared" si="44"/>
        <v>0</v>
      </c>
      <c r="K189" s="568">
        <f t="shared" si="44"/>
        <v>0</v>
      </c>
      <c r="L189" s="568">
        <f t="shared" si="44"/>
        <v>0</v>
      </c>
      <c r="M189" s="568">
        <f t="shared" si="44"/>
        <v>0</v>
      </c>
      <c r="N189" s="568">
        <f t="shared" si="44"/>
        <v>0</v>
      </c>
      <c r="O189" s="568">
        <f t="shared" si="44"/>
        <v>0</v>
      </c>
      <c r="P189" s="568">
        <f t="shared" si="44"/>
        <v>0</v>
      </c>
      <c r="Q189" s="568">
        <f t="shared" si="44"/>
        <v>0</v>
      </c>
      <c r="R189" s="568">
        <f t="shared" si="44"/>
        <v>0</v>
      </c>
      <c r="S189" s="568">
        <f t="shared" si="44"/>
        <v>0</v>
      </c>
      <c r="T189" s="568">
        <f t="shared" si="44"/>
        <v>0</v>
      </c>
      <c r="U189" s="568">
        <f t="shared" si="44"/>
        <v>0</v>
      </c>
      <c r="V189" s="568">
        <f t="shared" si="44"/>
        <v>0</v>
      </c>
      <c r="W189" s="568">
        <f t="shared" si="44"/>
        <v>0</v>
      </c>
      <c r="X189" s="568">
        <f t="shared" si="44"/>
        <v>0</v>
      </c>
      <c r="Y189" s="568">
        <f t="shared" si="44"/>
        <v>0</v>
      </c>
      <c r="Z189" s="568">
        <f t="shared" si="44"/>
        <v>0</v>
      </c>
      <c r="AA189" s="568">
        <f t="shared" si="44"/>
        <v>0</v>
      </c>
      <c r="AB189" s="568">
        <f t="shared" si="44"/>
        <v>0</v>
      </c>
      <c r="AC189" s="568">
        <f t="shared" si="44"/>
        <v>0</v>
      </c>
      <c r="AD189" s="567"/>
      <c r="AE189" s="567"/>
      <c r="AF189" s="567"/>
      <c r="AG189" s="567"/>
      <c r="AH189" s="567"/>
      <c r="AI189" s="567"/>
      <c r="AJ189" s="567"/>
      <c r="AK189" s="567"/>
      <c r="AL189" s="567"/>
      <c r="AM189" s="567"/>
    </row>
    <row r="190" spans="2:39" s="445" customFormat="1" ht="15" hidden="1">
      <c r="B190" s="443" t="s">
        <v>70</v>
      </c>
      <c r="C190" s="446" t="e">
        <f t="shared" ref="C190:AC190" si="45">MIN(ROUND(C189*C188,0),C160)</f>
        <v>#REF!</v>
      </c>
      <c r="D190" s="446">
        <f t="shared" si="45"/>
        <v>1402</v>
      </c>
      <c r="E190" s="446">
        <f t="shared" si="45"/>
        <v>4085</v>
      </c>
      <c r="F190" s="446">
        <f t="shared" si="45"/>
        <v>0</v>
      </c>
      <c r="G190" s="446">
        <f t="shared" si="45"/>
        <v>0</v>
      </c>
      <c r="H190" s="568">
        <f t="shared" si="45"/>
        <v>0</v>
      </c>
      <c r="I190" s="568">
        <f t="shared" si="45"/>
        <v>0</v>
      </c>
      <c r="J190" s="568">
        <f t="shared" si="45"/>
        <v>0</v>
      </c>
      <c r="K190" s="568">
        <f t="shared" si="45"/>
        <v>0</v>
      </c>
      <c r="L190" s="568">
        <f t="shared" si="45"/>
        <v>0</v>
      </c>
      <c r="M190" s="568">
        <f t="shared" si="45"/>
        <v>0</v>
      </c>
      <c r="N190" s="568">
        <f t="shared" si="45"/>
        <v>0</v>
      </c>
      <c r="O190" s="568">
        <f t="shared" si="45"/>
        <v>0</v>
      </c>
      <c r="P190" s="568">
        <f t="shared" si="45"/>
        <v>0</v>
      </c>
      <c r="Q190" s="568">
        <f t="shared" si="45"/>
        <v>0</v>
      </c>
      <c r="R190" s="568">
        <f t="shared" si="45"/>
        <v>0</v>
      </c>
      <c r="S190" s="568">
        <f t="shared" si="45"/>
        <v>0</v>
      </c>
      <c r="T190" s="568">
        <f t="shared" si="45"/>
        <v>0</v>
      </c>
      <c r="U190" s="568">
        <f t="shared" si="45"/>
        <v>0</v>
      </c>
      <c r="V190" s="568">
        <f t="shared" si="45"/>
        <v>0</v>
      </c>
      <c r="W190" s="568">
        <f t="shared" si="45"/>
        <v>0</v>
      </c>
      <c r="X190" s="568">
        <f t="shared" si="45"/>
        <v>0</v>
      </c>
      <c r="Y190" s="568">
        <f t="shared" si="45"/>
        <v>0</v>
      </c>
      <c r="Z190" s="568">
        <f t="shared" si="45"/>
        <v>0</v>
      </c>
      <c r="AA190" s="568">
        <f t="shared" si="45"/>
        <v>0</v>
      </c>
      <c r="AB190" s="568">
        <f t="shared" si="45"/>
        <v>0</v>
      </c>
      <c r="AC190" s="568">
        <f t="shared" si="45"/>
        <v>0</v>
      </c>
      <c r="AD190" s="567"/>
      <c r="AE190" s="567"/>
      <c r="AF190" s="567"/>
      <c r="AG190" s="567"/>
      <c r="AH190" s="567"/>
      <c r="AI190" s="567"/>
      <c r="AJ190" s="567"/>
      <c r="AK190" s="567"/>
      <c r="AL190" s="567"/>
      <c r="AM190" s="567"/>
    </row>
    <row r="191" spans="2:39" s="445" customFormat="1" ht="15" hidden="1">
      <c r="B191" s="443" t="s">
        <v>74</v>
      </c>
      <c r="C191" s="446"/>
      <c r="D191" s="446" t="e">
        <f>-D190+C190</f>
        <v>#REF!</v>
      </c>
      <c r="E191" s="446">
        <f t="shared" ref="E191:AB191" si="46">-E190+D190</f>
        <v>-2683</v>
      </c>
      <c r="F191" s="446">
        <f t="shared" si="46"/>
        <v>4085</v>
      </c>
      <c r="G191" s="446">
        <f t="shared" si="46"/>
        <v>0</v>
      </c>
      <c r="H191" s="568">
        <f>-H190+G190</f>
        <v>0</v>
      </c>
      <c r="I191" s="568">
        <f>-I190+H190</f>
        <v>0</v>
      </c>
      <c r="J191" s="568">
        <f t="shared" si="46"/>
        <v>0</v>
      </c>
      <c r="K191" s="568">
        <f t="shared" si="46"/>
        <v>0</v>
      </c>
      <c r="L191" s="568">
        <f t="shared" si="46"/>
        <v>0</v>
      </c>
      <c r="M191" s="568">
        <f t="shared" si="46"/>
        <v>0</v>
      </c>
      <c r="N191" s="568">
        <f t="shared" si="46"/>
        <v>0</v>
      </c>
      <c r="O191" s="568">
        <f t="shared" si="46"/>
        <v>0</v>
      </c>
      <c r="P191" s="568">
        <f t="shared" si="46"/>
        <v>0</v>
      </c>
      <c r="Q191" s="568">
        <f t="shared" si="46"/>
        <v>0</v>
      </c>
      <c r="R191" s="568">
        <f t="shared" si="46"/>
        <v>0</v>
      </c>
      <c r="S191" s="568">
        <f t="shared" si="46"/>
        <v>0</v>
      </c>
      <c r="T191" s="568">
        <f>-T190+S190</f>
        <v>0</v>
      </c>
      <c r="U191" s="568">
        <f t="shared" si="46"/>
        <v>0</v>
      </c>
      <c r="V191" s="568">
        <f>-V190+U190</f>
        <v>0</v>
      </c>
      <c r="W191" s="568">
        <f t="shared" si="46"/>
        <v>0</v>
      </c>
      <c r="X191" s="568">
        <f t="shared" si="46"/>
        <v>0</v>
      </c>
      <c r="Y191" s="568">
        <f t="shared" si="46"/>
        <v>0</v>
      </c>
      <c r="Z191" s="568">
        <f>-Z190+Y190</f>
        <v>0</v>
      </c>
      <c r="AA191" s="568">
        <f t="shared" si="46"/>
        <v>0</v>
      </c>
      <c r="AB191" s="568">
        <f t="shared" si="46"/>
        <v>0</v>
      </c>
      <c r="AC191" s="568">
        <f>AB190</f>
        <v>0</v>
      </c>
      <c r="AD191" s="567"/>
      <c r="AE191" s="567"/>
      <c r="AF191" s="567"/>
      <c r="AG191" s="567"/>
      <c r="AH191" s="567"/>
      <c r="AI191" s="567"/>
      <c r="AJ191" s="567"/>
      <c r="AK191" s="567"/>
      <c r="AL191" s="567"/>
      <c r="AM191" s="567"/>
    </row>
    <row r="192" spans="2:39" s="445" customFormat="1" ht="15" hidden="1">
      <c r="B192" s="443"/>
      <c r="C192" s="446"/>
      <c r="D192" s="446"/>
      <c r="E192" s="446"/>
      <c r="F192" s="446"/>
      <c r="G192" s="446"/>
      <c r="H192" s="568"/>
      <c r="I192" s="568"/>
      <c r="J192" s="568"/>
      <c r="K192" s="568"/>
      <c r="L192" s="568"/>
      <c r="M192" s="568"/>
      <c r="N192" s="568"/>
      <c r="O192" s="568"/>
      <c r="P192" s="568"/>
      <c r="Q192" s="568"/>
      <c r="R192" s="568"/>
      <c r="S192" s="568"/>
      <c r="T192" s="568"/>
      <c r="U192" s="568"/>
      <c r="V192" s="568"/>
      <c r="W192" s="568"/>
      <c r="X192" s="568"/>
      <c r="Y192" s="568"/>
      <c r="Z192" s="568"/>
      <c r="AA192" s="568"/>
      <c r="AB192" s="568"/>
      <c r="AC192" s="568"/>
      <c r="AD192" s="567"/>
      <c r="AE192" s="567"/>
      <c r="AF192" s="567"/>
      <c r="AG192" s="567"/>
      <c r="AH192" s="567"/>
      <c r="AI192" s="567"/>
      <c r="AJ192" s="567"/>
      <c r="AK192" s="567"/>
      <c r="AL192" s="567"/>
      <c r="AM192" s="567"/>
    </row>
    <row r="193" spans="2:39" s="445" customFormat="1" ht="15" hidden="1">
      <c r="B193" s="443" t="s">
        <v>77</v>
      </c>
      <c r="C193" s="446">
        <f t="shared" ref="C193:AC195" si="47">C157</f>
        <v>0</v>
      </c>
      <c r="D193" s="446">
        <f t="shared" si="47"/>
        <v>1</v>
      </c>
      <c r="E193" s="446">
        <f t="shared" si="47"/>
        <v>1001</v>
      </c>
      <c r="F193" s="446">
        <f t="shared" si="47"/>
        <v>2001</v>
      </c>
      <c r="G193" s="446">
        <f t="shared" si="47"/>
        <v>3001</v>
      </c>
      <c r="H193" s="568">
        <f t="shared" si="47"/>
        <v>4001</v>
      </c>
      <c r="I193" s="568">
        <f t="shared" si="47"/>
        <v>5001</v>
      </c>
      <c r="J193" s="568">
        <f t="shared" si="47"/>
        <v>6001</v>
      </c>
      <c r="K193" s="568">
        <f t="shared" si="47"/>
        <v>7001</v>
      </c>
      <c r="L193" s="568">
        <f t="shared" si="47"/>
        <v>8001</v>
      </c>
      <c r="M193" s="568">
        <f t="shared" si="47"/>
        <v>9001</v>
      </c>
      <c r="N193" s="568">
        <f t="shared" si="47"/>
        <v>10001</v>
      </c>
      <c r="O193" s="568">
        <f t="shared" si="47"/>
        <v>11001</v>
      </c>
      <c r="P193" s="568">
        <f t="shared" si="47"/>
        <v>12001</v>
      </c>
      <c r="Q193" s="568">
        <f t="shared" si="47"/>
        <v>13001</v>
      </c>
      <c r="R193" s="568">
        <f t="shared" si="47"/>
        <v>14001</v>
      </c>
      <c r="S193" s="568">
        <f t="shared" si="47"/>
        <v>15001</v>
      </c>
      <c r="T193" s="568">
        <f t="shared" si="47"/>
        <v>16001</v>
      </c>
      <c r="U193" s="568">
        <f t="shared" si="47"/>
        <v>17001</v>
      </c>
      <c r="V193" s="568">
        <f t="shared" si="47"/>
        <v>18001</v>
      </c>
      <c r="W193" s="568">
        <f t="shared" si="47"/>
        <v>19001</v>
      </c>
      <c r="X193" s="568">
        <f t="shared" si="47"/>
        <v>20001</v>
      </c>
      <c r="Y193" s="568">
        <f t="shared" si="47"/>
        <v>21001</v>
      </c>
      <c r="Z193" s="568">
        <f t="shared" si="47"/>
        <v>22001</v>
      </c>
      <c r="AA193" s="568">
        <f t="shared" si="47"/>
        <v>23001</v>
      </c>
      <c r="AB193" s="568">
        <f t="shared" si="47"/>
        <v>24001</v>
      </c>
      <c r="AC193" s="568">
        <f t="shared" si="47"/>
        <v>25001</v>
      </c>
      <c r="AD193" s="567"/>
      <c r="AE193" s="567"/>
      <c r="AF193" s="567"/>
      <c r="AG193" s="567"/>
      <c r="AH193" s="567"/>
      <c r="AI193" s="567"/>
      <c r="AJ193" s="567"/>
      <c r="AK193" s="567"/>
      <c r="AL193" s="567"/>
      <c r="AM193" s="567"/>
    </row>
    <row r="194" spans="2:39" s="445" customFormat="1" ht="15" hidden="1">
      <c r="B194" s="443" t="s">
        <v>59</v>
      </c>
      <c r="C194" s="446" t="str">
        <f t="shared" si="47"/>
        <v>to</v>
      </c>
      <c r="D194" s="446" t="str">
        <f t="shared" si="47"/>
        <v>to</v>
      </c>
      <c r="E194" s="446" t="str">
        <f t="shared" si="47"/>
        <v>to</v>
      </c>
      <c r="F194" s="446" t="str">
        <f t="shared" si="47"/>
        <v>to</v>
      </c>
      <c r="G194" s="446" t="str">
        <f t="shared" si="47"/>
        <v>to</v>
      </c>
      <c r="H194" s="568" t="str">
        <f t="shared" si="47"/>
        <v>to</v>
      </c>
      <c r="I194" s="568" t="str">
        <f t="shared" si="47"/>
        <v>to</v>
      </c>
      <c r="J194" s="568" t="str">
        <f t="shared" si="47"/>
        <v>to</v>
      </c>
      <c r="K194" s="568" t="str">
        <f t="shared" si="47"/>
        <v>to</v>
      </c>
      <c r="L194" s="568" t="str">
        <f t="shared" si="47"/>
        <v>to</v>
      </c>
      <c r="M194" s="568" t="str">
        <f t="shared" si="47"/>
        <v>to</v>
      </c>
      <c r="N194" s="568" t="str">
        <f t="shared" si="47"/>
        <v>to</v>
      </c>
      <c r="O194" s="568" t="str">
        <f t="shared" si="47"/>
        <v>to</v>
      </c>
      <c r="P194" s="568" t="str">
        <f t="shared" si="47"/>
        <v>to</v>
      </c>
      <c r="Q194" s="568" t="str">
        <f t="shared" si="47"/>
        <v>to</v>
      </c>
      <c r="R194" s="568" t="str">
        <f t="shared" si="47"/>
        <v>to</v>
      </c>
      <c r="S194" s="568" t="str">
        <f t="shared" si="47"/>
        <v>to</v>
      </c>
      <c r="T194" s="568" t="str">
        <f t="shared" si="47"/>
        <v>to</v>
      </c>
      <c r="U194" s="568" t="str">
        <f t="shared" si="47"/>
        <v>to</v>
      </c>
      <c r="V194" s="568" t="str">
        <f t="shared" si="47"/>
        <v>to</v>
      </c>
      <c r="W194" s="568" t="str">
        <f t="shared" si="47"/>
        <v>to</v>
      </c>
      <c r="X194" s="568" t="str">
        <f t="shared" si="47"/>
        <v>to</v>
      </c>
      <c r="Y194" s="568" t="str">
        <f t="shared" si="47"/>
        <v>to</v>
      </c>
      <c r="Z194" s="568" t="str">
        <f t="shared" si="47"/>
        <v>to</v>
      </c>
      <c r="AA194" s="568" t="str">
        <f t="shared" si="47"/>
        <v>to</v>
      </c>
      <c r="AB194" s="568" t="str">
        <f t="shared" si="47"/>
        <v>to</v>
      </c>
      <c r="AC194" s="568" t="str">
        <f t="shared" si="47"/>
        <v>to</v>
      </c>
      <c r="AD194" s="567"/>
      <c r="AE194" s="567"/>
      <c r="AF194" s="567"/>
      <c r="AG194" s="567"/>
      <c r="AH194" s="567"/>
      <c r="AI194" s="567"/>
      <c r="AJ194" s="567"/>
      <c r="AK194" s="567"/>
      <c r="AL194" s="567"/>
      <c r="AM194" s="567"/>
    </row>
    <row r="195" spans="2:39" s="445" customFormat="1" ht="15" hidden="1">
      <c r="B195" s="443" t="s">
        <v>78</v>
      </c>
      <c r="C195" s="446">
        <f t="shared" si="47"/>
        <v>0</v>
      </c>
      <c r="D195" s="446">
        <f t="shared" si="47"/>
        <v>1000</v>
      </c>
      <c r="E195" s="446">
        <f t="shared" si="47"/>
        <v>2000</v>
      </c>
      <c r="F195" s="446">
        <f t="shared" si="47"/>
        <v>3000</v>
      </c>
      <c r="G195" s="446">
        <f t="shared" si="47"/>
        <v>4000</v>
      </c>
      <c r="H195" s="568">
        <f t="shared" si="47"/>
        <v>5000</v>
      </c>
      <c r="I195" s="568">
        <f t="shared" si="47"/>
        <v>6000</v>
      </c>
      <c r="J195" s="568">
        <f t="shared" si="47"/>
        <v>7000</v>
      </c>
      <c r="K195" s="568">
        <f t="shared" si="47"/>
        <v>8000</v>
      </c>
      <c r="L195" s="568">
        <f t="shared" si="47"/>
        <v>9000</v>
      </c>
      <c r="M195" s="568">
        <f t="shared" si="47"/>
        <v>10000</v>
      </c>
      <c r="N195" s="568">
        <f t="shared" si="47"/>
        <v>11000</v>
      </c>
      <c r="O195" s="568">
        <f t="shared" si="47"/>
        <v>12000</v>
      </c>
      <c r="P195" s="568">
        <f t="shared" si="47"/>
        <v>13000</v>
      </c>
      <c r="Q195" s="568">
        <f t="shared" si="47"/>
        <v>14000</v>
      </c>
      <c r="R195" s="568">
        <f t="shared" si="47"/>
        <v>15000</v>
      </c>
      <c r="S195" s="568">
        <f t="shared" si="47"/>
        <v>16000</v>
      </c>
      <c r="T195" s="568">
        <f t="shared" si="47"/>
        <v>17000</v>
      </c>
      <c r="U195" s="568">
        <f t="shared" si="47"/>
        <v>18000</v>
      </c>
      <c r="V195" s="568">
        <f t="shared" si="47"/>
        <v>19000</v>
      </c>
      <c r="W195" s="568">
        <f t="shared" si="47"/>
        <v>20000</v>
      </c>
      <c r="X195" s="568">
        <f t="shared" si="47"/>
        <v>21000</v>
      </c>
      <c r="Y195" s="568">
        <f t="shared" si="47"/>
        <v>22000</v>
      </c>
      <c r="Z195" s="568">
        <f t="shared" si="47"/>
        <v>23000</v>
      </c>
      <c r="AA195" s="568">
        <f t="shared" si="47"/>
        <v>24000</v>
      </c>
      <c r="AB195" s="568">
        <f t="shared" si="47"/>
        <v>25000</v>
      </c>
      <c r="AC195" s="568">
        <f t="shared" si="47"/>
        <v>54516</v>
      </c>
      <c r="AD195" s="567"/>
      <c r="AE195" s="567"/>
      <c r="AF195" s="567"/>
      <c r="AG195" s="567"/>
      <c r="AH195" s="567"/>
      <c r="AI195" s="567"/>
      <c r="AJ195" s="567"/>
      <c r="AK195" s="567"/>
      <c r="AL195" s="567"/>
      <c r="AM195" s="567"/>
    </row>
    <row r="196" spans="2:39" s="445" customFormat="1" ht="15" hidden="1">
      <c r="B196" s="443" t="s">
        <v>79</v>
      </c>
      <c r="C196" s="446" t="e">
        <f t="shared" ref="C196:AC196" si="48">C160+C184+C191</f>
        <v>#REF!</v>
      </c>
      <c r="D196" s="446" t="e">
        <f t="shared" si="48"/>
        <v>#REF!</v>
      </c>
      <c r="E196" s="446" t="e">
        <f t="shared" si="48"/>
        <v>#REF!</v>
      </c>
      <c r="F196" s="446" t="e">
        <f t="shared" si="48"/>
        <v>#REF!</v>
      </c>
      <c r="G196" s="446" t="e">
        <f t="shared" si="48"/>
        <v>#REF!</v>
      </c>
      <c r="H196" s="568" t="e">
        <f t="shared" si="48"/>
        <v>#REF!</v>
      </c>
      <c r="I196" s="568" t="e">
        <f t="shared" si="48"/>
        <v>#REF!</v>
      </c>
      <c r="J196" s="568" t="e">
        <f t="shared" si="48"/>
        <v>#REF!</v>
      </c>
      <c r="K196" s="568" t="e">
        <f t="shared" si="48"/>
        <v>#REF!</v>
      </c>
      <c r="L196" s="568" t="e">
        <f t="shared" si="48"/>
        <v>#REF!</v>
      </c>
      <c r="M196" s="568" t="e">
        <f t="shared" si="48"/>
        <v>#REF!</v>
      </c>
      <c r="N196" s="568" t="e">
        <f t="shared" si="48"/>
        <v>#REF!</v>
      </c>
      <c r="O196" s="568" t="e">
        <f t="shared" si="48"/>
        <v>#REF!</v>
      </c>
      <c r="P196" s="568" t="e">
        <f t="shared" si="48"/>
        <v>#REF!</v>
      </c>
      <c r="Q196" s="568" t="e">
        <f t="shared" si="48"/>
        <v>#REF!</v>
      </c>
      <c r="R196" s="568" t="e">
        <f t="shared" si="48"/>
        <v>#REF!</v>
      </c>
      <c r="S196" s="568" t="e">
        <f t="shared" si="48"/>
        <v>#REF!</v>
      </c>
      <c r="T196" s="568" t="e">
        <f t="shared" si="48"/>
        <v>#REF!</v>
      </c>
      <c r="U196" s="568" t="e">
        <f t="shared" si="48"/>
        <v>#REF!</v>
      </c>
      <c r="V196" s="568" t="e">
        <f t="shared" si="48"/>
        <v>#REF!</v>
      </c>
      <c r="W196" s="568" t="e">
        <f t="shared" si="48"/>
        <v>#REF!</v>
      </c>
      <c r="X196" s="568" t="e">
        <f t="shared" si="48"/>
        <v>#REF!</v>
      </c>
      <c r="Y196" s="568" t="e">
        <f t="shared" si="48"/>
        <v>#REF!</v>
      </c>
      <c r="Z196" s="568" t="e">
        <f t="shared" si="48"/>
        <v>#REF!</v>
      </c>
      <c r="AA196" s="568" t="e">
        <f t="shared" si="48"/>
        <v>#REF!</v>
      </c>
      <c r="AB196" s="568" t="e">
        <f t="shared" si="48"/>
        <v>#REF!</v>
      </c>
      <c r="AC196" s="568" t="e">
        <f t="shared" si="48"/>
        <v>#REF!</v>
      </c>
      <c r="AD196" s="567"/>
      <c r="AE196" s="567"/>
      <c r="AF196" s="567"/>
      <c r="AG196" s="567"/>
      <c r="AH196" s="567"/>
      <c r="AI196" s="567"/>
      <c r="AJ196" s="567"/>
      <c r="AK196" s="567"/>
      <c r="AL196" s="567"/>
      <c r="AM196" s="567"/>
    </row>
    <row r="197" spans="2:39" s="445" customFormat="1" ht="15" hidden="1">
      <c r="B197" s="443" t="s">
        <v>80</v>
      </c>
      <c r="C197" s="447" t="e">
        <f>SUM(C196:AC196)-$C$162</f>
        <v>#REF!</v>
      </c>
      <c r="D197" s="446"/>
      <c r="E197" s="446"/>
      <c r="F197" s="446"/>
      <c r="G197" s="446"/>
      <c r="H197" s="568"/>
      <c r="I197" s="568"/>
      <c r="J197" s="568"/>
      <c r="K197" s="568"/>
      <c r="L197" s="568"/>
      <c r="M197" s="568"/>
      <c r="N197" s="568"/>
      <c r="O197" s="568"/>
      <c r="P197" s="568"/>
      <c r="Q197" s="568"/>
      <c r="R197" s="568"/>
      <c r="S197" s="568"/>
      <c r="T197" s="568"/>
      <c r="U197" s="568"/>
      <c r="V197" s="568"/>
      <c r="W197" s="568"/>
      <c r="X197" s="568"/>
      <c r="Y197" s="568"/>
      <c r="Z197" s="568"/>
      <c r="AA197" s="568"/>
      <c r="AB197" s="568"/>
      <c r="AC197" s="568"/>
      <c r="AD197" s="567"/>
      <c r="AE197" s="567"/>
      <c r="AF197" s="567"/>
      <c r="AG197" s="567"/>
      <c r="AH197" s="567"/>
      <c r="AI197" s="567"/>
      <c r="AJ197" s="567"/>
      <c r="AK197" s="567"/>
      <c r="AL197" s="567"/>
      <c r="AM197" s="567"/>
    </row>
    <row r="198" spans="2:39" s="445" customFormat="1" ht="15" hidden="1">
      <c r="B198" s="443"/>
      <c r="C198" s="446"/>
      <c r="D198" s="446"/>
      <c r="E198" s="446"/>
      <c r="F198" s="446"/>
      <c r="G198" s="446"/>
      <c r="H198" s="568"/>
      <c r="I198" s="568"/>
      <c r="J198" s="568"/>
      <c r="K198" s="568"/>
      <c r="L198" s="568"/>
      <c r="M198" s="568"/>
      <c r="N198" s="568"/>
      <c r="O198" s="568"/>
      <c r="P198" s="568"/>
      <c r="Q198" s="568"/>
      <c r="R198" s="568"/>
      <c r="S198" s="568"/>
      <c r="T198" s="568"/>
      <c r="U198" s="568"/>
      <c r="V198" s="568"/>
      <c r="W198" s="568"/>
      <c r="X198" s="568"/>
      <c r="Y198" s="568"/>
      <c r="Z198" s="568"/>
      <c r="AA198" s="568"/>
      <c r="AB198" s="568"/>
      <c r="AC198" s="568"/>
      <c r="AD198" s="567"/>
      <c r="AE198" s="567"/>
      <c r="AF198" s="567"/>
      <c r="AG198" s="567"/>
      <c r="AH198" s="567"/>
      <c r="AI198" s="567"/>
      <c r="AJ198" s="567"/>
      <c r="AK198" s="567"/>
      <c r="AL198" s="567"/>
      <c r="AM198" s="567"/>
    </row>
    <row r="199" spans="2:39" s="445" customFormat="1" ht="15" hidden="1">
      <c r="B199" s="443" t="s">
        <v>81</v>
      </c>
      <c r="C199" s="446">
        <f t="shared" ref="C199:AC199" si="49">C160</f>
        <v>67031</v>
      </c>
      <c r="D199" s="446">
        <f t="shared" si="49"/>
        <v>83886</v>
      </c>
      <c r="E199" s="446">
        <f t="shared" si="49"/>
        <v>118817</v>
      </c>
      <c r="F199" s="446">
        <f t="shared" si="49"/>
        <v>120959</v>
      </c>
      <c r="G199" s="446">
        <f t="shared" si="49"/>
        <v>113449</v>
      </c>
      <c r="H199" s="568">
        <f t="shared" si="49"/>
        <v>86802</v>
      </c>
      <c r="I199" s="568">
        <f t="shared" si="49"/>
        <v>67590</v>
      </c>
      <c r="J199" s="568">
        <f t="shared" si="49"/>
        <v>44999</v>
      </c>
      <c r="K199" s="568">
        <f t="shared" si="49"/>
        <v>35404</v>
      </c>
      <c r="L199" s="568">
        <f t="shared" si="49"/>
        <v>22384</v>
      </c>
      <c r="M199" s="568">
        <f t="shared" si="49"/>
        <v>19377</v>
      </c>
      <c r="N199" s="568">
        <f t="shared" si="49"/>
        <v>11932</v>
      </c>
      <c r="O199" s="568">
        <f t="shared" si="49"/>
        <v>11438</v>
      </c>
      <c r="P199" s="568">
        <f t="shared" si="49"/>
        <v>7198</v>
      </c>
      <c r="Q199" s="568">
        <f t="shared" si="49"/>
        <v>7246</v>
      </c>
      <c r="R199" s="568">
        <f t="shared" si="49"/>
        <v>4765</v>
      </c>
      <c r="S199" s="568">
        <f t="shared" si="49"/>
        <v>5004</v>
      </c>
      <c r="T199" s="568">
        <f t="shared" si="49"/>
        <v>3444</v>
      </c>
      <c r="U199" s="568">
        <f t="shared" si="49"/>
        <v>3674</v>
      </c>
      <c r="V199" s="568">
        <f t="shared" si="49"/>
        <v>2571</v>
      </c>
      <c r="W199" s="568">
        <f t="shared" si="49"/>
        <v>2949</v>
      </c>
      <c r="X199" s="568">
        <f t="shared" si="49"/>
        <v>2762</v>
      </c>
      <c r="Y199" s="568">
        <f t="shared" si="49"/>
        <v>2653</v>
      </c>
      <c r="Z199" s="568">
        <f t="shared" si="49"/>
        <v>2504</v>
      </c>
      <c r="AA199" s="568">
        <f t="shared" si="49"/>
        <v>2269</v>
      </c>
      <c r="AB199" s="568">
        <f t="shared" si="49"/>
        <v>1633</v>
      </c>
      <c r="AC199" s="568">
        <f t="shared" si="49"/>
        <v>11663</v>
      </c>
      <c r="AD199" s="567"/>
      <c r="AE199" s="567"/>
      <c r="AF199" s="567"/>
      <c r="AG199" s="567"/>
      <c r="AH199" s="567"/>
      <c r="AI199" s="567"/>
      <c r="AJ199" s="567"/>
      <c r="AK199" s="567"/>
      <c r="AL199" s="567"/>
      <c r="AM199" s="567"/>
    </row>
    <row r="200" spans="2:39" s="443" customFormat="1" ht="15" hidden="1">
      <c r="B200" s="443" t="s">
        <v>82</v>
      </c>
      <c r="C200" s="448" t="e">
        <f>C196</f>
        <v>#REF!</v>
      </c>
      <c r="D200" s="448" t="e">
        <f t="shared" ref="D200:AC200" si="50">D196</f>
        <v>#REF!</v>
      </c>
      <c r="E200" s="448" t="e">
        <f t="shared" si="50"/>
        <v>#REF!</v>
      </c>
      <c r="F200" s="448" t="e">
        <f t="shared" si="50"/>
        <v>#REF!</v>
      </c>
      <c r="G200" s="448" t="e">
        <f t="shared" si="50"/>
        <v>#REF!</v>
      </c>
      <c r="H200" s="569" t="e">
        <f t="shared" si="50"/>
        <v>#REF!</v>
      </c>
      <c r="I200" s="569" t="e">
        <f t="shared" si="50"/>
        <v>#REF!</v>
      </c>
      <c r="J200" s="569" t="e">
        <f t="shared" si="50"/>
        <v>#REF!</v>
      </c>
      <c r="K200" s="569" t="e">
        <f t="shared" si="50"/>
        <v>#REF!</v>
      </c>
      <c r="L200" s="569" t="e">
        <f t="shared" si="50"/>
        <v>#REF!</v>
      </c>
      <c r="M200" s="569" t="e">
        <f t="shared" si="50"/>
        <v>#REF!</v>
      </c>
      <c r="N200" s="569" t="e">
        <f t="shared" si="50"/>
        <v>#REF!</v>
      </c>
      <c r="O200" s="569" t="e">
        <f t="shared" si="50"/>
        <v>#REF!</v>
      </c>
      <c r="P200" s="569" t="e">
        <f t="shared" si="50"/>
        <v>#REF!</v>
      </c>
      <c r="Q200" s="569" t="e">
        <f t="shared" si="50"/>
        <v>#REF!</v>
      </c>
      <c r="R200" s="569" t="e">
        <f t="shared" si="50"/>
        <v>#REF!</v>
      </c>
      <c r="S200" s="569" t="e">
        <f t="shared" si="50"/>
        <v>#REF!</v>
      </c>
      <c r="T200" s="569" t="e">
        <f t="shared" si="50"/>
        <v>#REF!</v>
      </c>
      <c r="U200" s="569" t="e">
        <f t="shared" si="50"/>
        <v>#REF!</v>
      </c>
      <c r="V200" s="569" t="e">
        <f t="shared" si="50"/>
        <v>#REF!</v>
      </c>
      <c r="W200" s="569" t="e">
        <f t="shared" si="50"/>
        <v>#REF!</v>
      </c>
      <c r="X200" s="569" t="e">
        <f t="shared" si="50"/>
        <v>#REF!</v>
      </c>
      <c r="Y200" s="569" t="e">
        <f t="shared" si="50"/>
        <v>#REF!</v>
      </c>
      <c r="Z200" s="569" t="e">
        <f t="shared" si="50"/>
        <v>#REF!</v>
      </c>
      <c r="AA200" s="569" t="e">
        <f t="shared" si="50"/>
        <v>#REF!</v>
      </c>
      <c r="AB200" s="569" t="e">
        <f t="shared" si="50"/>
        <v>#REF!</v>
      </c>
      <c r="AC200" s="569" t="e">
        <f t="shared" si="50"/>
        <v>#REF!</v>
      </c>
      <c r="AD200" s="570"/>
      <c r="AE200" s="570"/>
      <c r="AF200" s="570"/>
      <c r="AG200" s="570"/>
      <c r="AH200" s="570"/>
      <c r="AI200" s="570"/>
      <c r="AJ200" s="570"/>
      <c r="AK200" s="570"/>
      <c r="AL200" s="570"/>
      <c r="AM200" s="570"/>
    </row>
    <row r="201" spans="2:39" s="445" customFormat="1" ht="15" hidden="1">
      <c r="B201" s="443" t="s">
        <v>83</v>
      </c>
      <c r="C201" s="446" t="e">
        <f>C200-C199</f>
        <v>#REF!</v>
      </c>
      <c r="D201" s="446" t="e">
        <f t="shared" ref="D201:AC201" si="51">D200-D199</f>
        <v>#REF!</v>
      </c>
      <c r="E201" s="446" t="e">
        <f t="shared" si="51"/>
        <v>#REF!</v>
      </c>
      <c r="F201" s="446" t="e">
        <f t="shared" si="51"/>
        <v>#REF!</v>
      </c>
      <c r="G201" s="446" t="e">
        <f t="shared" si="51"/>
        <v>#REF!</v>
      </c>
      <c r="H201" s="568" t="e">
        <f t="shared" si="51"/>
        <v>#REF!</v>
      </c>
      <c r="I201" s="568" t="e">
        <f t="shared" si="51"/>
        <v>#REF!</v>
      </c>
      <c r="J201" s="568" t="e">
        <f t="shared" si="51"/>
        <v>#REF!</v>
      </c>
      <c r="K201" s="568" t="e">
        <f t="shared" si="51"/>
        <v>#REF!</v>
      </c>
      <c r="L201" s="568" t="e">
        <f t="shared" si="51"/>
        <v>#REF!</v>
      </c>
      <c r="M201" s="568" t="e">
        <f t="shared" si="51"/>
        <v>#REF!</v>
      </c>
      <c r="N201" s="568" t="e">
        <f t="shared" si="51"/>
        <v>#REF!</v>
      </c>
      <c r="O201" s="568" t="e">
        <f t="shared" si="51"/>
        <v>#REF!</v>
      </c>
      <c r="P201" s="568" t="e">
        <f t="shared" si="51"/>
        <v>#REF!</v>
      </c>
      <c r="Q201" s="568" t="e">
        <f t="shared" si="51"/>
        <v>#REF!</v>
      </c>
      <c r="R201" s="568" t="e">
        <f t="shared" si="51"/>
        <v>#REF!</v>
      </c>
      <c r="S201" s="568" t="e">
        <f t="shared" si="51"/>
        <v>#REF!</v>
      </c>
      <c r="T201" s="568" t="e">
        <f t="shared" si="51"/>
        <v>#REF!</v>
      </c>
      <c r="U201" s="568" t="e">
        <f t="shared" si="51"/>
        <v>#REF!</v>
      </c>
      <c r="V201" s="568" t="e">
        <f t="shared" si="51"/>
        <v>#REF!</v>
      </c>
      <c r="W201" s="568" t="e">
        <f t="shared" si="51"/>
        <v>#REF!</v>
      </c>
      <c r="X201" s="568" t="e">
        <f t="shared" si="51"/>
        <v>#REF!</v>
      </c>
      <c r="Y201" s="568" t="e">
        <f t="shared" si="51"/>
        <v>#REF!</v>
      </c>
      <c r="Z201" s="568" t="e">
        <f t="shared" si="51"/>
        <v>#REF!</v>
      </c>
      <c r="AA201" s="568" t="e">
        <f t="shared" si="51"/>
        <v>#REF!</v>
      </c>
      <c r="AB201" s="568" t="e">
        <f t="shared" si="51"/>
        <v>#REF!</v>
      </c>
      <c r="AC201" s="568" t="e">
        <f t="shared" si="51"/>
        <v>#REF!</v>
      </c>
      <c r="AD201" s="567"/>
      <c r="AE201" s="567"/>
      <c r="AF201" s="567"/>
      <c r="AG201" s="567"/>
      <c r="AH201" s="567"/>
      <c r="AI201" s="567"/>
      <c r="AJ201" s="567"/>
      <c r="AK201" s="567"/>
      <c r="AL201" s="567"/>
      <c r="AM201" s="567"/>
    </row>
    <row r="202" spans="2:39" s="445" customFormat="1" ht="15" hidden="1">
      <c r="B202" s="443" t="s">
        <v>80</v>
      </c>
      <c r="C202" s="447" t="e">
        <f>SUM(C201:AC201)</f>
        <v>#REF!</v>
      </c>
      <c r="D202" s="446"/>
      <c r="E202" s="446"/>
      <c r="F202" s="446"/>
      <c r="G202" s="446"/>
      <c r="H202" s="568"/>
      <c r="I202" s="568"/>
      <c r="J202" s="568"/>
      <c r="K202" s="568"/>
      <c r="L202" s="568"/>
      <c r="M202" s="568"/>
      <c r="N202" s="568"/>
      <c r="O202" s="568"/>
      <c r="P202" s="568"/>
      <c r="Q202" s="568"/>
      <c r="R202" s="568"/>
      <c r="S202" s="568"/>
      <c r="T202" s="568"/>
      <c r="U202" s="568"/>
      <c r="V202" s="568"/>
      <c r="W202" s="568"/>
      <c r="X202" s="568"/>
      <c r="Y202" s="568"/>
      <c r="Z202" s="568"/>
      <c r="AA202" s="568"/>
      <c r="AB202" s="568"/>
      <c r="AC202" s="568"/>
      <c r="AD202" s="567"/>
      <c r="AE202" s="567"/>
      <c r="AF202" s="567"/>
      <c r="AG202" s="567"/>
      <c r="AH202" s="567"/>
      <c r="AI202" s="567"/>
      <c r="AJ202" s="567"/>
      <c r="AK202" s="567"/>
      <c r="AL202" s="567"/>
      <c r="AM202" s="567"/>
    </row>
    <row r="203" spans="2:39" ht="15" hidden="1">
      <c r="B203" s="130"/>
      <c r="C203" s="439"/>
      <c r="D203" s="147"/>
      <c r="E203" s="147"/>
      <c r="F203" s="147"/>
      <c r="G203" s="147"/>
      <c r="H203" s="479"/>
      <c r="I203" s="479"/>
      <c r="J203" s="479"/>
      <c r="K203" s="479"/>
      <c r="L203" s="479"/>
      <c r="M203" s="479"/>
      <c r="N203" s="479"/>
      <c r="O203" s="479"/>
      <c r="P203" s="479"/>
      <c r="Q203" s="479"/>
      <c r="R203" s="479"/>
      <c r="S203" s="479"/>
      <c r="T203" s="479"/>
      <c r="U203" s="479"/>
      <c r="V203" s="479"/>
      <c r="W203" s="479"/>
      <c r="X203" s="479"/>
      <c r="Y203" s="479"/>
      <c r="Z203" s="479"/>
      <c r="AA203" s="479"/>
      <c r="AB203" s="479"/>
      <c r="AC203" s="479"/>
    </row>
    <row r="204" spans="2:39" s="445" customFormat="1" ht="15" hidden="1">
      <c r="B204" s="443" t="s">
        <v>65</v>
      </c>
      <c r="C204" s="444">
        <f t="shared" ref="C204:AB204" si="52">HLOOKUP(C177,$C$170:$AC$170,1,TRUE)+1</f>
        <v>1</v>
      </c>
      <c r="D204" s="444">
        <f t="shared" si="52"/>
        <v>1018</v>
      </c>
      <c r="E204" s="444">
        <f t="shared" si="52"/>
        <v>2262</v>
      </c>
      <c r="F204" s="444">
        <f t="shared" si="52"/>
        <v>2262</v>
      </c>
      <c r="G204" s="444">
        <f t="shared" si="52"/>
        <v>3769</v>
      </c>
      <c r="H204" s="566">
        <f t="shared" si="52"/>
        <v>4523</v>
      </c>
      <c r="I204" s="566">
        <f t="shared" si="52"/>
        <v>5277</v>
      </c>
      <c r="J204" s="566">
        <f t="shared" si="52"/>
        <v>6784</v>
      </c>
      <c r="K204" s="566">
        <f t="shared" si="52"/>
        <v>7538</v>
      </c>
      <c r="L204" s="566">
        <f t="shared" si="52"/>
        <v>8291</v>
      </c>
      <c r="M204" s="566">
        <f t="shared" si="52"/>
        <v>9798</v>
      </c>
      <c r="N204" s="566">
        <f t="shared" si="52"/>
        <v>10552</v>
      </c>
      <c r="O204" s="566">
        <f t="shared" si="52"/>
        <v>11306</v>
      </c>
      <c r="P204" s="566">
        <f t="shared" si="52"/>
        <v>12813</v>
      </c>
      <c r="Q204" s="566">
        <f t="shared" si="52"/>
        <v>13567</v>
      </c>
      <c r="R204" s="566">
        <f t="shared" si="52"/>
        <v>14320</v>
      </c>
      <c r="S204" s="566">
        <f t="shared" si="52"/>
        <v>15828</v>
      </c>
      <c r="T204" s="566">
        <f t="shared" si="52"/>
        <v>16581</v>
      </c>
      <c r="U204" s="566">
        <f t="shared" si="52"/>
        <v>17335</v>
      </c>
      <c r="V204" s="566">
        <f t="shared" si="52"/>
        <v>18842</v>
      </c>
      <c r="W204" s="566">
        <f t="shared" si="52"/>
        <v>18842</v>
      </c>
      <c r="X204" s="566">
        <f t="shared" si="52"/>
        <v>18842</v>
      </c>
      <c r="Y204" s="566">
        <f t="shared" si="52"/>
        <v>18842</v>
      </c>
      <c r="Z204" s="566">
        <f t="shared" si="52"/>
        <v>18842</v>
      </c>
      <c r="AA204" s="566">
        <f t="shared" si="52"/>
        <v>18842</v>
      </c>
      <c r="AB204" s="566">
        <f t="shared" si="52"/>
        <v>18842</v>
      </c>
      <c r="AC204" s="566">
        <f>AC168</f>
        <v>18842</v>
      </c>
      <c r="AD204" s="567"/>
      <c r="AE204" s="567"/>
      <c r="AF204" s="567"/>
      <c r="AG204" s="567"/>
      <c r="AH204" s="567"/>
      <c r="AI204" s="567"/>
      <c r="AJ204" s="567"/>
      <c r="AK204" s="567"/>
      <c r="AL204" s="567"/>
      <c r="AM204" s="567"/>
    </row>
    <row r="205" spans="2:39" s="445" customFormat="1" ht="15" hidden="1">
      <c r="B205" s="443"/>
      <c r="C205" s="444" t="s">
        <v>59</v>
      </c>
      <c r="D205" s="444" t="s">
        <v>59</v>
      </c>
      <c r="E205" s="444" t="s">
        <v>59</v>
      </c>
      <c r="F205" s="444" t="s">
        <v>59</v>
      </c>
      <c r="G205" s="444" t="s">
        <v>59</v>
      </c>
      <c r="H205" s="566" t="s">
        <v>59</v>
      </c>
      <c r="I205" s="566" t="s">
        <v>59</v>
      </c>
      <c r="J205" s="566" t="s">
        <v>59</v>
      </c>
      <c r="K205" s="566" t="s">
        <v>59</v>
      </c>
      <c r="L205" s="566" t="s">
        <v>59</v>
      </c>
      <c r="M205" s="566" t="s">
        <v>59</v>
      </c>
      <c r="N205" s="566" t="s">
        <v>59</v>
      </c>
      <c r="O205" s="566" t="s">
        <v>59</v>
      </c>
      <c r="P205" s="566" t="s">
        <v>59</v>
      </c>
      <c r="Q205" s="566" t="s">
        <v>59</v>
      </c>
      <c r="R205" s="566" t="s">
        <v>59</v>
      </c>
      <c r="S205" s="566" t="s">
        <v>59</v>
      </c>
      <c r="T205" s="566" t="s">
        <v>59</v>
      </c>
      <c r="U205" s="566" t="s">
        <v>59</v>
      </c>
      <c r="V205" s="566" t="s">
        <v>59</v>
      </c>
      <c r="W205" s="566" t="s">
        <v>59</v>
      </c>
      <c r="X205" s="566" t="s">
        <v>59</v>
      </c>
      <c r="Y205" s="566" t="s">
        <v>59</v>
      </c>
      <c r="Z205" s="566" t="s">
        <v>59</v>
      </c>
      <c r="AA205" s="566" t="s">
        <v>59</v>
      </c>
      <c r="AB205" s="566" t="s">
        <v>59</v>
      </c>
      <c r="AC205" s="566" t="s">
        <v>59</v>
      </c>
      <c r="AD205" s="567"/>
      <c r="AE205" s="567"/>
      <c r="AF205" s="567"/>
      <c r="AG205" s="567"/>
      <c r="AH205" s="567"/>
      <c r="AI205" s="567"/>
      <c r="AJ205" s="567"/>
      <c r="AK205" s="567"/>
      <c r="AL205" s="567"/>
      <c r="AM205" s="567"/>
    </row>
    <row r="206" spans="2:39" s="445" customFormat="1" ht="15" hidden="1">
      <c r="B206" s="443" t="s">
        <v>51</v>
      </c>
      <c r="C206" s="444">
        <f>HLOOKUP(C204,$C$168:$AC$172,3,FALSE)</f>
        <v>1017</v>
      </c>
      <c r="D206" s="444">
        <f t="shared" ref="D206:AC206" si="53">HLOOKUP(D204,$C$168:$AC$172,3,FALSE)</f>
        <v>2035</v>
      </c>
      <c r="E206" s="444">
        <f t="shared" si="53"/>
        <v>3015</v>
      </c>
      <c r="F206" s="444">
        <f t="shared" si="53"/>
        <v>3015</v>
      </c>
      <c r="G206" s="444">
        <f t="shared" si="53"/>
        <v>4522</v>
      </c>
      <c r="H206" s="566">
        <f t="shared" si="53"/>
        <v>5276</v>
      </c>
      <c r="I206" s="566">
        <f t="shared" si="53"/>
        <v>6029</v>
      </c>
      <c r="J206" s="566">
        <f t="shared" si="53"/>
        <v>7537</v>
      </c>
      <c r="K206" s="566">
        <f t="shared" si="53"/>
        <v>8290</v>
      </c>
      <c r="L206" s="566">
        <f t="shared" si="53"/>
        <v>9044</v>
      </c>
      <c r="M206" s="566">
        <f t="shared" si="53"/>
        <v>10551</v>
      </c>
      <c r="N206" s="566">
        <f t="shared" si="53"/>
        <v>11305</v>
      </c>
      <c r="O206" s="566">
        <f t="shared" si="53"/>
        <v>12058</v>
      </c>
      <c r="P206" s="566">
        <f t="shared" si="53"/>
        <v>13566</v>
      </c>
      <c r="Q206" s="566">
        <f t="shared" si="53"/>
        <v>14319</v>
      </c>
      <c r="R206" s="566">
        <f t="shared" si="53"/>
        <v>15073</v>
      </c>
      <c r="S206" s="566">
        <f t="shared" si="53"/>
        <v>16580</v>
      </c>
      <c r="T206" s="566">
        <f t="shared" si="53"/>
        <v>17334</v>
      </c>
      <c r="U206" s="566">
        <f t="shared" si="53"/>
        <v>18088</v>
      </c>
      <c r="V206" s="566">
        <f t="shared" si="53"/>
        <v>41086</v>
      </c>
      <c r="W206" s="566">
        <f t="shared" si="53"/>
        <v>41086</v>
      </c>
      <c r="X206" s="566">
        <f t="shared" si="53"/>
        <v>41086</v>
      </c>
      <c r="Y206" s="566">
        <f t="shared" si="53"/>
        <v>41086</v>
      </c>
      <c r="Z206" s="566">
        <f t="shared" si="53"/>
        <v>41086</v>
      </c>
      <c r="AA206" s="566">
        <f t="shared" si="53"/>
        <v>41086</v>
      </c>
      <c r="AB206" s="566">
        <f t="shared" si="53"/>
        <v>41086</v>
      </c>
      <c r="AC206" s="566">
        <f t="shared" si="53"/>
        <v>41086</v>
      </c>
      <c r="AD206" s="567"/>
      <c r="AE206" s="567"/>
      <c r="AF206" s="567"/>
      <c r="AG206" s="567"/>
      <c r="AH206" s="567"/>
      <c r="AI206" s="567"/>
      <c r="AJ206" s="567"/>
      <c r="AK206" s="567"/>
      <c r="AL206" s="567"/>
      <c r="AM206" s="567"/>
    </row>
    <row r="207" spans="2:39" s="445" customFormat="1" ht="15" hidden="1">
      <c r="B207" s="443" t="s">
        <v>52</v>
      </c>
      <c r="C207" s="444" t="e">
        <f t="shared" ref="C207:AC207" si="54">HLOOKUP(C204+1,$C$168:$AC$172,4,FALSE)</f>
        <v>#N/A</v>
      </c>
      <c r="D207" s="444" t="e">
        <f t="shared" si="54"/>
        <v>#N/A</v>
      </c>
      <c r="E207" s="444" t="e">
        <f t="shared" si="54"/>
        <v>#N/A</v>
      </c>
      <c r="F207" s="444" t="e">
        <f t="shared" si="54"/>
        <v>#N/A</v>
      </c>
      <c r="G207" s="444" t="e">
        <f t="shared" si="54"/>
        <v>#N/A</v>
      </c>
      <c r="H207" s="566" t="e">
        <f t="shared" si="54"/>
        <v>#N/A</v>
      </c>
      <c r="I207" s="566" t="e">
        <f t="shared" si="54"/>
        <v>#N/A</v>
      </c>
      <c r="J207" s="566" t="e">
        <f t="shared" si="54"/>
        <v>#N/A</v>
      </c>
      <c r="K207" s="566" t="e">
        <f t="shared" si="54"/>
        <v>#N/A</v>
      </c>
      <c r="L207" s="566" t="e">
        <f t="shared" si="54"/>
        <v>#N/A</v>
      </c>
      <c r="M207" s="566" t="e">
        <f t="shared" si="54"/>
        <v>#N/A</v>
      </c>
      <c r="N207" s="566" t="e">
        <f t="shared" si="54"/>
        <v>#N/A</v>
      </c>
      <c r="O207" s="566" t="e">
        <f t="shared" si="54"/>
        <v>#N/A</v>
      </c>
      <c r="P207" s="566" t="e">
        <f t="shared" si="54"/>
        <v>#N/A</v>
      </c>
      <c r="Q207" s="566" t="e">
        <f t="shared" si="54"/>
        <v>#N/A</v>
      </c>
      <c r="R207" s="566" t="e">
        <f t="shared" si="54"/>
        <v>#N/A</v>
      </c>
      <c r="S207" s="566" t="e">
        <f t="shared" si="54"/>
        <v>#N/A</v>
      </c>
      <c r="T207" s="566" t="e">
        <f t="shared" si="54"/>
        <v>#N/A</v>
      </c>
      <c r="U207" s="566" t="e">
        <f t="shared" si="54"/>
        <v>#N/A</v>
      </c>
      <c r="V207" s="566" t="e">
        <f t="shared" si="54"/>
        <v>#N/A</v>
      </c>
      <c r="W207" s="566" t="e">
        <f t="shared" si="54"/>
        <v>#N/A</v>
      </c>
      <c r="X207" s="566" t="e">
        <f t="shared" si="54"/>
        <v>#N/A</v>
      </c>
      <c r="Y207" s="566" t="e">
        <f t="shared" si="54"/>
        <v>#N/A</v>
      </c>
      <c r="Z207" s="566" t="e">
        <f t="shared" si="54"/>
        <v>#N/A</v>
      </c>
      <c r="AA207" s="566" t="e">
        <f t="shared" si="54"/>
        <v>#N/A</v>
      </c>
      <c r="AB207" s="566" t="e">
        <f t="shared" si="54"/>
        <v>#N/A</v>
      </c>
      <c r="AC207" s="566" t="e">
        <f t="shared" si="54"/>
        <v>#N/A</v>
      </c>
      <c r="AD207" s="567"/>
      <c r="AE207" s="567"/>
      <c r="AF207" s="567"/>
      <c r="AG207" s="567"/>
      <c r="AH207" s="567"/>
      <c r="AI207" s="567"/>
      <c r="AJ207" s="567"/>
      <c r="AK207" s="567"/>
      <c r="AL207" s="567"/>
      <c r="AM207" s="567"/>
    </row>
    <row r="208" spans="2:39" s="445" customFormat="1" ht="15" hidden="1">
      <c r="B208" s="443" t="s">
        <v>63</v>
      </c>
      <c r="C208" s="444">
        <f>ROUNDUP(C204,-3)</f>
        <v>1000</v>
      </c>
      <c r="D208" s="444">
        <f>ROUNDUP(D204,-3)</f>
        <v>2000</v>
      </c>
      <c r="E208" s="444">
        <f>ROUNDUP(E204,-3)</f>
        <v>3000</v>
      </c>
      <c r="F208" s="444">
        <f>ROUNDUP(F204,-3)</f>
        <v>3000</v>
      </c>
      <c r="G208" s="444">
        <f>ROUNDUP(G204,-3)</f>
        <v>4000</v>
      </c>
      <c r="H208" s="566">
        <f t="shared" ref="H208:AC208" si="55">ROUNDUP(H204,-3)</f>
        <v>5000</v>
      </c>
      <c r="I208" s="566">
        <f t="shared" si="55"/>
        <v>6000</v>
      </c>
      <c r="J208" s="566">
        <f t="shared" si="55"/>
        <v>7000</v>
      </c>
      <c r="K208" s="566">
        <f t="shared" si="55"/>
        <v>8000</v>
      </c>
      <c r="L208" s="566">
        <f t="shared" si="55"/>
        <v>9000</v>
      </c>
      <c r="M208" s="566">
        <f t="shared" si="55"/>
        <v>10000</v>
      </c>
      <c r="N208" s="566">
        <f t="shared" si="55"/>
        <v>11000</v>
      </c>
      <c r="O208" s="566">
        <f t="shared" si="55"/>
        <v>12000</v>
      </c>
      <c r="P208" s="566">
        <f t="shared" si="55"/>
        <v>13000</v>
      </c>
      <c r="Q208" s="566">
        <f t="shared" si="55"/>
        <v>14000</v>
      </c>
      <c r="R208" s="566">
        <f t="shared" si="55"/>
        <v>15000</v>
      </c>
      <c r="S208" s="566">
        <f t="shared" si="55"/>
        <v>16000</v>
      </c>
      <c r="T208" s="566">
        <f t="shared" si="55"/>
        <v>17000</v>
      </c>
      <c r="U208" s="566">
        <f t="shared" si="55"/>
        <v>18000</v>
      </c>
      <c r="V208" s="566">
        <f t="shared" si="55"/>
        <v>19000</v>
      </c>
      <c r="W208" s="566">
        <f t="shared" si="55"/>
        <v>19000</v>
      </c>
      <c r="X208" s="566">
        <f t="shared" si="55"/>
        <v>19000</v>
      </c>
      <c r="Y208" s="566">
        <f t="shared" si="55"/>
        <v>19000</v>
      </c>
      <c r="Z208" s="566">
        <f t="shared" si="55"/>
        <v>19000</v>
      </c>
      <c r="AA208" s="566">
        <f t="shared" si="55"/>
        <v>19000</v>
      </c>
      <c r="AB208" s="566">
        <f t="shared" si="55"/>
        <v>19000</v>
      </c>
      <c r="AC208" s="566">
        <f t="shared" si="55"/>
        <v>19000</v>
      </c>
      <c r="AD208" s="567"/>
      <c r="AE208" s="567"/>
      <c r="AF208" s="567"/>
      <c r="AG208" s="567"/>
      <c r="AH208" s="567"/>
      <c r="AI208" s="567"/>
      <c r="AJ208" s="567"/>
      <c r="AK208" s="567"/>
      <c r="AL208" s="567"/>
      <c r="AM208" s="567"/>
    </row>
    <row r="209" spans="2:39" s="445" customFormat="1" ht="15" hidden="1">
      <c r="B209" s="443" t="s">
        <v>64</v>
      </c>
      <c r="C209" s="446">
        <v>0</v>
      </c>
      <c r="D209" s="449">
        <f t="shared" ref="D209:AC209" si="56">ABS(D176-D204)</f>
        <v>18</v>
      </c>
      <c r="E209" s="449">
        <f t="shared" si="56"/>
        <v>262</v>
      </c>
      <c r="F209" s="449">
        <f t="shared" si="56"/>
        <v>738</v>
      </c>
      <c r="G209" s="449">
        <f t="shared" si="56"/>
        <v>231</v>
      </c>
      <c r="H209" s="571">
        <f t="shared" si="56"/>
        <v>477</v>
      </c>
      <c r="I209" s="571">
        <f t="shared" si="56"/>
        <v>723</v>
      </c>
      <c r="J209" s="571">
        <f t="shared" si="56"/>
        <v>216</v>
      </c>
      <c r="K209" s="571">
        <f t="shared" si="56"/>
        <v>462</v>
      </c>
      <c r="L209" s="571">
        <f t="shared" si="56"/>
        <v>709</v>
      </c>
      <c r="M209" s="571">
        <f t="shared" si="56"/>
        <v>202</v>
      </c>
      <c r="N209" s="571">
        <f t="shared" si="56"/>
        <v>448</v>
      </c>
      <c r="O209" s="571">
        <f t="shared" si="56"/>
        <v>694</v>
      </c>
      <c r="P209" s="571">
        <f t="shared" si="56"/>
        <v>187</v>
      </c>
      <c r="Q209" s="571">
        <f t="shared" si="56"/>
        <v>433</v>
      </c>
      <c r="R209" s="571">
        <f t="shared" si="56"/>
        <v>680</v>
      </c>
      <c r="S209" s="571">
        <f t="shared" si="56"/>
        <v>172</v>
      </c>
      <c r="T209" s="571">
        <f t="shared" si="56"/>
        <v>419</v>
      </c>
      <c r="U209" s="571">
        <f t="shared" si="56"/>
        <v>665</v>
      </c>
      <c r="V209" s="571">
        <f t="shared" si="56"/>
        <v>158</v>
      </c>
      <c r="W209" s="571">
        <f t="shared" si="56"/>
        <v>1158</v>
      </c>
      <c r="X209" s="571">
        <f t="shared" si="56"/>
        <v>2158</v>
      </c>
      <c r="Y209" s="571">
        <f t="shared" si="56"/>
        <v>3158</v>
      </c>
      <c r="Z209" s="571">
        <f t="shared" si="56"/>
        <v>4158</v>
      </c>
      <c r="AA209" s="571">
        <f t="shared" si="56"/>
        <v>5158</v>
      </c>
      <c r="AB209" s="571">
        <f t="shared" si="56"/>
        <v>6158</v>
      </c>
      <c r="AC209" s="571">
        <f t="shared" si="56"/>
        <v>22244</v>
      </c>
      <c r="AD209" s="567"/>
      <c r="AE209" s="567"/>
      <c r="AF209" s="567"/>
      <c r="AG209" s="567"/>
      <c r="AH209" s="567"/>
      <c r="AI209" s="567"/>
      <c r="AJ209" s="567"/>
      <c r="AK209" s="567"/>
      <c r="AL209" s="567"/>
      <c r="AM209" s="567"/>
    </row>
    <row r="210" spans="2:39" s="445" customFormat="1" ht="15" hidden="1">
      <c r="B210" s="443" t="s">
        <v>54</v>
      </c>
      <c r="C210" s="446" t="e">
        <f t="shared" ref="C210:AC210" si="57">ROUND(C209*C207,0)</f>
        <v>#N/A</v>
      </c>
      <c r="D210" s="446" t="e">
        <f t="shared" si="57"/>
        <v>#N/A</v>
      </c>
      <c r="E210" s="446" t="e">
        <f t="shared" si="57"/>
        <v>#N/A</v>
      </c>
      <c r="F210" s="446" t="e">
        <f t="shared" si="57"/>
        <v>#N/A</v>
      </c>
      <c r="G210" s="446" t="e">
        <f t="shared" si="57"/>
        <v>#N/A</v>
      </c>
      <c r="H210" s="568" t="e">
        <f t="shared" si="57"/>
        <v>#N/A</v>
      </c>
      <c r="I210" s="568" t="e">
        <f t="shared" si="57"/>
        <v>#N/A</v>
      </c>
      <c r="J210" s="568" t="e">
        <f t="shared" si="57"/>
        <v>#N/A</v>
      </c>
      <c r="K210" s="568" t="e">
        <f t="shared" si="57"/>
        <v>#N/A</v>
      </c>
      <c r="L210" s="568" t="e">
        <f t="shared" si="57"/>
        <v>#N/A</v>
      </c>
      <c r="M210" s="568" t="e">
        <f t="shared" si="57"/>
        <v>#N/A</v>
      </c>
      <c r="N210" s="568" t="e">
        <f t="shared" si="57"/>
        <v>#N/A</v>
      </c>
      <c r="O210" s="568" t="e">
        <f t="shared" si="57"/>
        <v>#N/A</v>
      </c>
      <c r="P210" s="568" t="e">
        <f t="shared" si="57"/>
        <v>#N/A</v>
      </c>
      <c r="Q210" s="568" t="e">
        <f t="shared" si="57"/>
        <v>#N/A</v>
      </c>
      <c r="R210" s="568" t="e">
        <f t="shared" si="57"/>
        <v>#N/A</v>
      </c>
      <c r="S210" s="568" t="e">
        <f t="shared" si="57"/>
        <v>#N/A</v>
      </c>
      <c r="T210" s="568" t="e">
        <f t="shared" si="57"/>
        <v>#N/A</v>
      </c>
      <c r="U210" s="568" t="e">
        <f t="shared" si="57"/>
        <v>#N/A</v>
      </c>
      <c r="V210" s="568" t="e">
        <f t="shared" si="57"/>
        <v>#N/A</v>
      </c>
      <c r="W210" s="568" t="e">
        <f t="shared" si="57"/>
        <v>#N/A</v>
      </c>
      <c r="X210" s="568" t="e">
        <f t="shared" si="57"/>
        <v>#N/A</v>
      </c>
      <c r="Y210" s="568" t="e">
        <f t="shared" si="57"/>
        <v>#N/A</v>
      </c>
      <c r="Z210" s="568" t="e">
        <f t="shared" si="57"/>
        <v>#N/A</v>
      </c>
      <c r="AA210" s="568" t="e">
        <f t="shared" si="57"/>
        <v>#N/A</v>
      </c>
      <c r="AB210" s="568" t="e">
        <f t="shared" si="57"/>
        <v>#N/A</v>
      </c>
      <c r="AC210" s="568" t="e">
        <f t="shared" si="57"/>
        <v>#N/A</v>
      </c>
      <c r="AD210" s="567"/>
      <c r="AE210" s="567"/>
      <c r="AF210" s="567"/>
      <c r="AG210" s="567"/>
      <c r="AH210" s="567"/>
      <c r="AI210" s="567"/>
      <c r="AJ210" s="567"/>
      <c r="AK210" s="567"/>
      <c r="AL210" s="567"/>
      <c r="AM210" s="567"/>
    </row>
    <row r="211" spans="2:39" s="445" customFormat="1" ht="15" hidden="1">
      <c r="B211" s="443" t="s">
        <v>57</v>
      </c>
      <c r="C211" s="446">
        <f>C160</f>
        <v>67031</v>
      </c>
      <c r="D211" s="446" t="e">
        <f t="shared" ref="D211:AC211" si="58">IF(D176=D208,D160+D210-C210,D160+D210)</f>
        <v>#N/A</v>
      </c>
      <c r="E211" s="446" t="e">
        <f t="shared" si="58"/>
        <v>#N/A</v>
      </c>
      <c r="F211" s="446" t="e">
        <f t="shared" si="58"/>
        <v>#N/A</v>
      </c>
      <c r="G211" s="446" t="e">
        <f t="shared" si="58"/>
        <v>#N/A</v>
      </c>
      <c r="H211" s="568" t="e">
        <f t="shared" si="58"/>
        <v>#N/A</v>
      </c>
      <c r="I211" s="568" t="e">
        <f t="shared" si="58"/>
        <v>#N/A</v>
      </c>
      <c r="J211" s="568" t="e">
        <f t="shared" si="58"/>
        <v>#N/A</v>
      </c>
      <c r="K211" s="568" t="e">
        <f t="shared" si="58"/>
        <v>#N/A</v>
      </c>
      <c r="L211" s="568" t="e">
        <f t="shared" si="58"/>
        <v>#N/A</v>
      </c>
      <c r="M211" s="568" t="e">
        <f t="shared" si="58"/>
        <v>#N/A</v>
      </c>
      <c r="N211" s="568" t="e">
        <f t="shared" si="58"/>
        <v>#N/A</v>
      </c>
      <c r="O211" s="568" t="e">
        <f t="shared" si="58"/>
        <v>#N/A</v>
      </c>
      <c r="P211" s="568" t="e">
        <f t="shared" si="58"/>
        <v>#N/A</v>
      </c>
      <c r="Q211" s="568" t="e">
        <f t="shared" si="58"/>
        <v>#N/A</v>
      </c>
      <c r="R211" s="568" t="e">
        <f t="shared" si="58"/>
        <v>#N/A</v>
      </c>
      <c r="S211" s="568" t="e">
        <f t="shared" si="58"/>
        <v>#N/A</v>
      </c>
      <c r="T211" s="568" t="e">
        <f t="shared" si="58"/>
        <v>#N/A</v>
      </c>
      <c r="U211" s="568" t="e">
        <f t="shared" si="58"/>
        <v>#N/A</v>
      </c>
      <c r="V211" s="568" t="e">
        <f t="shared" si="58"/>
        <v>#N/A</v>
      </c>
      <c r="W211" s="568" t="e">
        <f t="shared" si="58"/>
        <v>#N/A</v>
      </c>
      <c r="X211" s="568" t="e">
        <f t="shared" si="58"/>
        <v>#N/A</v>
      </c>
      <c r="Y211" s="568" t="e">
        <f t="shared" si="58"/>
        <v>#N/A</v>
      </c>
      <c r="Z211" s="568" t="e">
        <f t="shared" si="58"/>
        <v>#N/A</v>
      </c>
      <c r="AA211" s="568" t="e">
        <f t="shared" si="58"/>
        <v>#N/A</v>
      </c>
      <c r="AB211" s="568" t="e">
        <f t="shared" si="58"/>
        <v>#N/A</v>
      </c>
      <c r="AC211" s="568" t="e">
        <f t="shared" si="58"/>
        <v>#N/A</v>
      </c>
      <c r="AD211" s="567"/>
      <c r="AE211" s="567"/>
      <c r="AF211" s="567"/>
      <c r="AG211" s="567"/>
      <c r="AH211" s="567"/>
      <c r="AI211" s="567"/>
      <c r="AJ211" s="567"/>
      <c r="AK211" s="567"/>
      <c r="AL211" s="567"/>
      <c r="AM211" s="567"/>
    </row>
    <row r="212" spans="2:39" s="445" customFormat="1" ht="15" hidden="1">
      <c r="B212" s="443" t="s">
        <v>58</v>
      </c>
      <c r="C212" s="446">
        <f>C211</f>
        <v>67031</v>
      </c>
      <c r="D212" s="446" t="e">
        <f>D211+C212</f>
        <v>#N/A</v>
      </c>
      <c r="E212" s="446" t="e">
        <f t="shared" ref="E212:J212" si="59">E211+D212</f>
        <v>#N/A</v>
      </c>
      <c r="F212" s="446" t="e">
        <f t="shared" si="59"/>
        <v>#N/A</v>
      </c>
      <c r="G212" s="446" t="e">
        <f t="shared" si="59"/>
        <v>#N/A</v>
      </c>
      <c r="H212" s="568" t="e">
        <f t="shared" si="59"/>
        <v>#N/A</v>
      </c>
      <c r="I212" s="568" t="e">
        <f t="shared" si="59"/>
        <v>#N/A</v>
      </c>
      <c r="J212" s="568" t="e">
        <f t="shared" si="59"/>
        <v>#N/A</v>
      </c>
      <c r="K212" s="568"/>
      <c r="L212" s="568"/>
      <c r="M212" s="568"/>
      <c r="N212" s="568"/>
      <c r="O212" s="568"/>
      <c r="P212" s="568"/>
      <c r="Q212" s="568"/>
      <c r="R212" s="568"/>
      <c r="S212" s="568"/>
      <c r="T212" s="568"/>
      <c r="U212" s="568"/>
      <c r="V212" s="568"/>
      <c r="W212" s="568"/>
      <c r="X212" s="568"/>
      <c r="Y212" s="568"/>
      <c r="Z212" s="568"/>
      <c r="AA212" s="568"/>
      <c r="AB212" s="568"/>
      <c r="AC212" s="568"/>
      <c r="AD212" s="567"/>
      <c r="AE212" s="567"/>
      <c r="AF212" s="567"/>
      <c r="AG212" s="567"/>
      <c r="AH212" s="567"/>
      <c r="AI212" s="567"/>
      <c r="AJ212" s="567"/>
      <c r="AK212" s="567"/>
      <c r="AL212" s="567"/>
      <c r="AM212" s="567"/>
    </row>
    <row r="213" spans="2:39" s="445" customFormat="1" ht="15" hidden="1">
      <c r="B213" s="443"/>
      <c r="C213" s="446"/>
      <c r="D213" s="446"/>
      <c r="E213" s="446"/>
      <c r="F213" s="446"/>
      <c r="G213" s="446"/>
      <c r="H213" s="568"/>
      <c r="I213" s="568"/>
      <c r="J213" s="568"/>
      <c r="K213" s="568"/>
      <c r="L213" s="568"/>
      <c r="M213" s="568"/>
      <c r="N213" s="568"/>
      <c r="O213" s="568"/>
      <c r="P213" s="568"/>
      <c r="Q213" s="568"/>
      <c r="R213" s="568"/>
      <c r="S213" s="568"/>
      <c r="T213" s="568"/>
      <c r="U213" s="568"/>
      <c r="V213" s="568"/>
      <c r="W213" s="568"/>
      <c r="X213" s="568"/>
      <c r="Y213" s="568"/>
      <c r="Z213" s="568"/>
      <c r="AA213" s="568"/>
      <c r="AB213" s="568"/>
      <c r="AC213" s="568"/>
      <c r="AD213" s="567"/>
      <c r="AE213" s="567"/>
      <c r="AF213" s="567"/>
      <c r="AG213" s="567"/>
      <c r="AH213" s="567"/>
      <c r="AI213" s="567"/>
      <c r="AJ213" s="567"/>
      <c r="AK213" s="567"/>
      <c r="AL213" s="567"/>
      <c r="AM213" s="567"/>
    </row>
    <row r="214" spans="2:39" s="445" customFormat="1" ht="15" hidden="1">
      <c r="B214" s="443"/>
      <c r="C214" s="446"/>
      <c r="D214" s="446"/>
      <c r="E214" s="446"/>
      <c r="F214" s="446"/>
      <c r="G214" s="446"/>
      <c r="H214" s="568"/>
      <c r="I214" s="568"/>
      <c r="J214" s="568"/>
      <c r="K214" s="568"/>
      <c r="L214" s="568"/>
      <c r="M214" s="568"/>
      <c r="N214" s="568"/>
      <c r="O214" s="568"/>
      <c r="P214" s="568"/>
      <c r="Q214" s="568"/>
      <c r="R214" s="568"/>
      <c r="S214" s="568"/>
      <c r="T214" s="568"/>
      <c r="U214" s="568"/>
      <c r="V214" s="568"/>
      <c r="W214" s="568"/>
      <c r="X214" s="568"/>
      <c r="Y214" s="568"/>
      <c r="Z214" s="568"/>
      <c r="AA214" s="568"/>
      <c r="AB214" s="568"/>
      <c r="AC214" s="568"/>
      <c r="AD214" s="567"/>
      <c r="AE214" s="567"/>
      <c r="AF214" s="567"/>
      <c r="AG214" s="567"/>
      <c r="AH214" s="567"/>
      <c r="AI214" s="567"/>
      <c r="AJ214" s="567"/>
      <c r="AK214" s="567"/>
      <c r="AL214" s="567"/>
      <c r="AM214" s="567"/>
    </row>
    <row r="215" spans="2:39" s="445" customFormat="1" ht="15" hidden="1">
      <c r="B215" s="443" t="s">
        <v>45</v>
      </c>
      <c r="C215" s="444">
        <v>0</v>
      </c>
      <c r="D215" s="450">
        <v>1000</v>
      </c>
      <c r="E215" s="450">
        <v>2000</v>
      </c>
      <c r="F215" s="450">
        <v>3000</v>
      </c>
      <c r="G215" s="450">
        <v>4000</v>
      </c>
      <c r="H215" s="572">
        <v>5000</v>
      </c>
      <c r="I215" s="572">
        <v>6000</v>
      </c>
      <c r="J215" s="572">
        <v>7000</v>
      </c>
      <c r="K215" s="572">
        <v>8000</v>
      </c>
      <c r="L215" s="572">
        <v>9000</v>
      </c>
      <c r="M215" s="572">
        <v>10000</v>
      </c>
      <c r="N215" s="572">
        <v>11000</v>
      </c>
      <c r="O215" s="572">
        <v>12000</v>
      </c>
      <c r="P215" s="572">
        <v>13000</v>
      </c>
      <c r="Q215" s="572">
        <v>14000</v>
      </c>
      <c r="R215" s="572">
        <v>15000</v>
      </c>
      <c r="S215" s="572">
        <v>16000</v>
      </c>
      <c r="T215" s="572">
        <v>17000</v>
      </c>
      <c r="U215" s="572">
        <v>18000</v>
      </c>
      <c r="V215" s="572">
        <v>19000</v>
      </c>
      <c r="W215" s="572">
        <v>20000</v>
      </c>
      <c r="X215" s="572">
        <v>21000</v>
      </c>
      <c r="Y215" s="572">
        <v>22000</v>
      </c>
      <c r="Z215" s="572">
        <v>23000</v>
      </c>
      <c r="AA215" s="572">
        <v>24000</v>
      </c>
      <c r="AB215" s="572">
        <v>25000</v>
      </c>
      <c r="AC215" s="573" t="s">
        <v>42</v>
      </c>
      <c r="AD215" s="567"/>
      <c r="AE215" s="567"/>
      <c r="AF215" s="567"/>
      <c r="AG215" s="567"/>
      <c r="AH215" s="567"/>
      <c r="AI215" s="567"/>
      <c r="AJ215" s="567"/>
      <c r="AK215" s="567"/>
      <c r="AL215" s="567"/>
      <c r="AM215" s="567"/>
    </row>
    <row r="216" spans="2:39" s="445" customFormat="1" ht="15" hidden="1">
      <c r="B216" s="443"/>
      <c r="C216" s="446">
        <f>C161</f>
        <v>67031</v>
      </c>
      <c r="D216" s="446">
        <f t="shared" ref="D216:AB216" si="60">ROUND(C216+((D161-C161)*(D215-C215)/(D170-C170)),0)</f>
        <v>149515</v>
      </c>
      <c r="E216" s="446">
        <f t="shared" si="60"/>
        <v>266231</v>
      </c>
      <c r="F216" s="446">
        <f t="shared" si="60"/>
        <v>801448</v>
      </c>
      <c r="G216" s="446">
        <f t="shared" si="60"/>
        <v>951911</v>
      </c>
      <c r="H216" s="568">
        <f t="shared" si="60"/>
        <v>1067186</v>
      </c>
      <c r="I216" s="568">
        <f t="shared" si="60"/>
        <v>1156828</v>
      </c>
      <c r="J216" s="568">
        <f t="shared" si="60"/>
        <v>1216508</v>
      </c>
      <c r="K216" s="568">
        <f t="shared" si="60"/>
        <v>1263525</v>
      </c>
      <c r="L216" s="568">
        <f t="shared" si="60"/>
        <v>1293212</v>
      </c>
      <c r="M216" s="568">
        <f t="shared" si="60"/>
        <v>1318911</v>
      </c>
      <c r="N216" s="568">
        <f t="shared" si="60"/>
        <v>1334757</v>
      </c>
      <c r="O216" s="568">
        <f t="shared" si="60"/>
        <v>1349927</v>
      </c>
      <c r="P216" s="568">
        <f t="shared" si="60"/>
        <v>1359486</v>
      </c>
      <c r="Q216" s="568">
        <f t="shared" si="60"/>
        <v>1369096</v>
      </c>
      <c r="R216" s="568">
        <f t="shared" si="60"/>
        <v>1375416</v>
      </c>
      <c r="S216" s="568">
        <f t="shared" si="60"/>
        <v>1382061</v>
      </c>
      <c r="T216" s="568">
        <f t="shared" si="60"/>
        <v>1386629</v>
      </c>
      <c r="U216" s="568">
        <f t="shared" si="60"/>
        <v>1391502</v>
      </c>
      <c r="V216" s="568">
        <f t="shared" si="60"/>
        <v>1394916</v>
      </c>
      <c r="W216" s="568">
        <f t="shared" si="60"/>
        <v>1398827</v>
      </c>
      <c r="X216" s="568">
        <f t="shared" si="60"/>
        <v>1402490</v>
      </c>
      <c r="Y216" s="568">
        <f t="shared" si="60"/>
        <v>1406013</v>
      </c>
      <c r="Z216" s="568">
        <f t="shared" si="60"/>
        <v>1409334</v>
      </c>
      <c r="AA216" s="568">
        <f t="shared" si="60"/>
        <v>1412343</v>
      </c>
      <c r="AB216" s="568">
        <f t="shared" si="60"/>
        <v>1414512</v>
      </c>
      <c r="AC216" s="568">
        <f>AC161</f>
        <v>864403</v>
      </c>
      <c r="AD216" s="567"/>
      <c r="AE216" s="567"/>
      <c r="AF216" s="567"/>
      <c r="AG216" s="567"/>
      <c r="AH216" s="567"/>
      <c r="AI216" s="567"/>
      <c r="AJ216" s="567"/>
      <c r="AK216" s="567"/>
      <c r="AL216" s="567"/>
      <c r="AM216" s="567"/>
    </row>
    <row r="217" spans="2:39" s="445" customFormat="1" ht="15" hidden="1">
      <c r="B217" s="443" t="s">
        <v>48</v>
      </c>
      <c r="C217" s="446" t="e">
        <f t="shared" ref="C217:AB217" si="61">ROUND((D216-C216)*(C180-C215)/(D215-C215),0)</f>
        <v>#REF!</v>
      </c>
      <c r="D217" s="446" t="e">
        <f t="shared" si="61"/>
        <v>#REF!</v>
      </c>
      <c r="E217" s="446" t="e">
        <f t="shared" si="61"/>
        <v>#REF!</v>
      </c>
      <c r="F217" s="446" t="e">
        <f t="shared" si="61"/>
        <v>#REF!</v>
      </c>
      <c r="G217" s="446" t="e">
        <f t="shared" si="61"/>
        <v>#REF!</v>
      </c>
      <c r="H217" s="568" t="e">
        <f t="shared" si="61"/>
        <v>#REF!</v>
      </c>
      <c r="I217" s="568" t="e">
        <f t="shared" si="61"/>
        <v>#REF!</v>
      </c>
      <c r="J217" s="568" t="e">
        <f t="shared" si="61"/>
        <v>#REF!</v>
      </c>
      <c r="K217" s="568" t="e">
        <f t="shared" si="61"/>
        <v>#REF!</v>
      </c>
      <c r="L217" s="568" t="e">
        <f t="shared" si="61"/>
        <v>#REF!</v>
      </c>
      <c r="M217" s="568" t="e">
        <f t="shared" si="61"/>
        <v>#REF!</v>
      </c>
      <c r="N217" s="568" t="e">
        <f t="shared" si="61"/>
        <v>#REF!</v>
      </c>
      <c r="O217" s="568" t="e">
        <f t="shared" si="61"/>
        <v>#REF!</v>
      </c>
      <c r="P217" s="568" t="e">
        <f t="shared" si="61"/>
        <v>#REF!</v>
      </c>
      <c r="Q217" s="568" t="e">
        <f t="shared" si="61"/>
        <v>#REF!</v>
      </c>
      <c r="R217" s="568" t="e">
        <f t="shared" si="61"/>
        <v>#REF!</v>
      </c>
      <c r="S217" s="568" t="e">
        <f t="shared" si="61"/>
        <v>#REF!</v>
      </c>
      <c r="T217" s="568" t="e">
        <f t="shared" si="61"/>
        <v>#REF!</v>
      </c>
      <c r="U217" s="568" t="e">
        <f t="shared" si="61"/>
        <v>#REF!</v>
      </c>
      <c r="V217" s="568" t="e">
        <f t="shared" si="61"/>
        <v>#REF!</v>
      </c>
      <c r="W217" s="568" t="e">
        <f t="shared" si="61"/>
        <v>#REF!</v>
      </c>
      <c r="X217" s="568" t="e">
        <f t="shared" si="61"/>
        <v>#REF!</v>
      </c>
      <c r="Y217" s="568" t="e">
        <f t="shared" si="61"/>
        <v>#REF!</v>
      </c>
      <c r="Z217" s="568" t="e">
        <f t="shared" si="61"/>
        <v>#REF!</v>
      </c>
      <c r="AA217" s="568" t="e">
        <f t="shared" si="61"/>
        <v>#REF!</v>
      </c>
      <c r="AB217" s="568" t="e">
        <f t="shared" si="61"/>
        <v>#REF!</v>
      </c>
      <c r="AC217" s="567"/>
      <c r="AD217" s="567"/>
      <c r="AE217" s="567"/>
      <c r="AF217" s="567"/>
      <c r="AG217" s="567"/>
      <c r="AH217" s="567"/>
      <c r="AI217" s="567"/>
      <c r="AJ217" s="567"/>
      <c r="AK217" s="567"/>
      <c r="AL217" s="567"/>
      <c r="AM217" s="567"/>
    </row>
    <row r="218" spans="2:39" s="445" customFormat="1" ht="15" hidden="1">
      <c r="B218" s="443"/>
      <c r="C218" s="446"/>
      <c r="D218" s="446"/>
      <c r="E218" s="446"/>
      <c r="F218" s="446"/>
      <c r="G218" s="446"/>
      <c r="H218" s="568"/>
      <c r="I218" s="568"/>
      <c r="J218" s="568"/>
      <c r="K218" s="568"/>
      <c r="L218" s="568"/>
      <c r="M218" s="568"/>
      <c r="N218" s="568"/>
      <c r="O218" s="568"/>
      <c r="P218" s="568"/>
      <c r="Q218" s="568"/>
      <c r="R218" s="568"/>
      <c r="S218" s="568"/>
      <c r="T218" s="568"/>
      <c r="U218" s="568"/>
      <c r="V218" s="568"/>
      <c r="W218" s="568"/>
      <c r="X218" s="568"/>
      <c r="Y218" s="568"/>
      <c r="Z218" s="568"/>
      <c r="AA218" s="568"/>
      <c r="AB218" s="568"/>
      <c r="AC218" s="567"/>
      <c r="AD218" s="567"/>
      <c r="AE218" s="567"/>
      <c r="AF218" s="567"/>
      <c r="AG218" s="567"/>
      <c r="AH218" s="567"/>
      <c r="AI218" s="567"/>
      <c r="AJ218" s="567"/>
      <c r="AK218" s="567"/>
      <c r="AL218" s="567"/>
      <c r="AM218" s="567"/>
    </row>
    <row r="219" spans="2:39" ht="15" hidden="1">
      <c r="B219" s="130" t="s">
        <v>85</v>
      </c>
      <c r="C219" s="147">
        <f>C167</f>
        <v>0</v>
      </c>
      <c r="D219" s="147">
        <f>IF(AND(D176&gt;C170,D176&lt;=D170),D167,IF(AND(D176&gt;D170,D176&lt;=E170),E167,IF(AND(D176&gt;E170,D176&lt;=F170),F167,IF(AND(D176&gt;F170,D176&lt;=G170),G167,IF(AND(D176&gt;G170,D176&lt;=H170),H167,IF(AND(D176&gt;H170,D176&lt;=I170),I167,IF(AND(D176&gt;I170,D176&lt;=J170),J167,IF(AND(D176&gt;J170,D176&lt;=K170),K167,IF(AND(D176&gt;K170,D176&lt;=L170),L167,IF(AND(D176&gt;L170,D176&lt;=M170),M167,IF(AND(D176&gt;M170,D176&lt;=N170),N167,O167)))))))))))</f>
        <v>1</v>
      </c>
      <c r="E219" s="147">
        <f>IF(AND(E176&gt;C170,E176&lt;=D170),D167,IF(AND(E176&gt;D170,E176&lt;=E170),E167,IF(AND(E176&gt;E170,E176&lt;=F170),F167,IF(AND(E176&gt;F170,E176&lt;=G170),G167,IF(AND(E176&gt;G170,E176&lt;=H170),H167,IF(AND(E176&gt;H170,E176&lt;=I170),I167,IF(AND(E176&gt;I170,E176&lt;=J170),J167,IF(AND(E176&gt;J170,E176&lt;=K170),K167,IF(AND(E176&gt;K170,E176&lt;=L170),L167,IF(AND(E176&gt;L170,E176&lt;=M170),M167,IF(AND(E176&gt;M170,E176&lt;=N170),N167,IF(AND(E176&gt;N170,E176&lt;=O170),O167,P167))))))))))))</f>
        <v>2</v>
      </c>
      <c r="F219" s="147">
        <f>IF(AND(F176&gt;C170,F176&lt;=D170),D167,IF(AND(F176&gt;D170,F176&lt;=E170),E167,IF(AND(F176&gt;E170,F176&lt;=F170),F167,IF(AND(F176&gt;F170,F176&lt;=G170),G167,IF(AND(F176&gt;G170,F176&lt;=H170),H167,IF(AND(F176&gt;H170,F176&lt;=I170),I167,IF(AND(F176&gt;I170,F176&lt;=J170),J167,IF(AND(F176&gt;J170,F176&lt;=K170),K167,IF(AND(F176&gt;K170,F176&lt;=L170),L167,IF(AND(F176&gt;L170,F176&lt;=M170),M167,IF(AND(F176&gt;M170,F176&lt;=N170),N167,IF(AND(F176&gt;N170,F176&lt;=O170),O167,IF(AND(F176&gt;O170,F176&lt;=P170),P167,Q167)))))))))))))</f>
        <v>4</v>
      </c>
      <c r="G219" s="147">
        <f>IF(AND(G176&gt;C170,G176&lt;=D170),D167,IF(AND(G176&gt;D170,G176&lt;=E170),E167,IF(AND(G176&gt;E170,G176&lt;=F170),F167,IF(AND(G176&gt;F170,G176&lt;=G170),G167,IF(AND(G176&gt;G170,G176&lt;=H170),H167,IF(AND(G176&gt;H170,G176&lt;=I170),I167,IF(AND(G176&gt;I170,G176&lt;=J170),J167,IF(AND(G176&gt;J170,G176&lt;=K170),K167,IF(AND(G176&gt;K170,G176&lt;=L170),L167,IF(AND(G176&gt;L170,G176&lt;=M170),M167,IF(AND(G176&gt;M170,G176&lt;=N170),N167,IF(AND(G176&gt;N170,G176&lt;=O170),O167,IF(AND(G176&gt;O170,G176&lt;=P170),P167,IF(AND(G176&gt;P170,G176&lt;=Q170),Q167,R167))))))))))))))</f>
        <v>6</v>
      </c>
      <c r="H219" s="479">
        <f>IF(AND(H176&gt;D170,H176&lt;=E170),E167,IF(AND(H176&gt;E170,H176&lt;=F170),F167,IF(AND(H176&gt;F170,H176&lt;=G170),G167,IF(AND(H176&gt;G170,H176&lt;=H170),H167,IF(AND(H176&gt;H170,H176&lt;=I170),I167,IF(AND(H176&gt;I170,H176&lt;=J170),J167,IF(AND(H176&gt;J170,H176&lt;=K170),K167,IF(AND(H176&gt;K170,H176&lt;=L170),L167,IF(AND(H176&gt;L170,H176&lt;=M170),M167,IF(AND(H176&gt;M170,H176&lt;=N170),N167,IF(AND(H176&gt;N170,H176&lt;=O170),O167,IF(AND(H176&gt;O170,H176&lt;=P170),P167,IF(AND(H176&gt;P170,H176&lt;=Q170),Q167,IF(AND(H176&gt;Q170,H176&lt;=R170),R167,S167))))))))))))))</f>
        <v>7</v>
      </c>
      <c r="I219" s="479">
        <f>IF(AND(I176&gt;E170,I176&lt;=F170),F167,IF(AND(I176&gt;F170,I176&lt;=G170),G167,IF(AND(I176&gt;G170,I176&lt;=H170),H167,IF(AND(I176&gt;H170,I176&lt;=I170),I167,IF(AND(I176&gt;I170,I176&lt;=J170),J167,IF(AND(I176&gt;J170,I176&lt;=K170),K167,IF(AND(I176&gt;K170,I176&lt;=L170),L167,IF(AND(I176&gt;L170,I176&lt;=M170),M167,IF(AND(I176&gt;M170,I176&lt;=N170),N167,IF(AND(I176&gt;N170,I176&lt;=O170),O167,IF(AND(I176&gt;O170,I176&lt;=P170),P167,IF(AND(I176&gt;P170,I176&lt;=Q170),Q167,IF(AND(I176&gt;Q170,I176&lt;=R170),R167,IF(AND(I176&gt;R170,I176&lt;=S170),S167,IF(AND(I176&gt;S170,I176&lt;=T170),T167,IF(AND(I176&gt;T170,I176&lt;=U170),U167,IF(AND(I176&gt;U170,I176&lt;=V170),V167,IF(AND(I176&gt;V170,I176&lt;=W170),W167,IF(AND(I176&gt;W170,I176&lt;=X170),X167,IF(AND(I176&gt;X170,I176&lt;=Y170),Y167,IF(AND(I176&gt;Y170,I176&lt;=Z170),Z167,IF(AND(I176&gt;Z170,I176&lt;=AA170),AA167,IF(AND(I176&gt;AA170,I176&lt;=AB170),AB167,$AC$167)))))))))))))))))))))))</f>
        <v>8</v>
      </c>
      <c r="J219" s="479">
        <f>IF(AND(J176&gt;F170,J176&lt;=G170),G167,IF(AND(J176&gt;G170,J176&lt;=H170),H167,IF(AND(J176&gt;H170,J176&lt;=I170),I167,IF(AND(J176&gt;I170,J176&lt;=J170),J167,IF(AND(J176&gt;J170,J176&lt;=K170),K167,IF(AND(J176&gt;K170,J176&lt;=L170),L167,IF(AND(J176&gt;L170,J176&lt;=M170),M167,IF(AND(J176&gt;M170,J176&lt;=N170),N167,IF(AND(J176&gt;N170,J176&lt;=O170),O167,IF(AND(J176&gt;O170,J176&lt;=P170),P167,IF(AND(J176&gt;P170,J176&lt;=Q170),Q167,IF(AND(J176&gt;Q170,J176&lt;=R170),R167,IF(AND(J176&gt;R170,J176&lt;=S170),S167,IF(AND(J176&gt;S170,J176&lt;=T170),T167,IF(AND(J176&gt;T170,J176&lt;=U170),U167,IF(AND(J176&gt;U170,J176&lt;=V170),V167,IF(AND(J176&gt;V170,J176&lt;=W170),W167,IF(AND(J176&gt;W170,J176&lt;=X170),X167,IF(AND(J176&gt;X170,J176&lt;=Y170),Y167,IF(AND(J176&gt;Y170,J176&lt;=Z170),Z167,IF(AND(J176&gt;Z170,J176&lt;=AA170),AA167,IF(AND(J176&gt;AA170,J176&lt;=AB170),AB167,$AC$167))))))))))))))))))))))</f>
        <v>10</v>
      </c>
      <c r="K219" s="479">
        <f>IF(AND(K176&gt;G170,K176&lt;=H170),H167,IF(AND(K176&gt;H170,K176&lt;=I170),I167,IF(AND(K176&gt;I170,K176&lt;=J170),J167,IF(AND(K176&gt;J170,K176&lt;=K170),K167,IF(AND(K176&gt;K170,K176&lt;=L170),L167,IF(AND(K176&gt;L170,K176&lt;=M170),M167,IF(AND(K176&gt;M170,K176&lt;=N170),N167,IF(AND(K176&gt;N170,K176&lt;=O170),O167,IF(AND(K176&gt;O170,K176&lt;=P170),P167,IF(AND(K176&gt;P170,K176&lt;=Q170),Q167,IF(AND(K176&gt;Q170,K176&lt;=R170),R167,IF(AND(K176&gt;R170,K176&lt;=S170),S167,IF(AND(K176&gt;S170,K176&lt;=T170),T167,IF(AND(K176&gt;T170,K176&lt;=U170),U167,IF(AND(K176&gt;U170,K176&lt;=V170),V167,IF(AND(K176&gt;V170,K176&lt;=W170),W167,IF(AND(K176&gt;W170,K176&lt;=X170),X167,IF(AND(K176&gt;X170,K176&lt;=Y170),Y167,IF(AND(K176&gt;Y170,K176&lt;=Z170),Z167,IF(AND(K176&gt;Z170,K176&lt;=AA170),AA167,IF(AND(K176&gt;AA170,K176&lt;=AB170),AB167,$AC$167)))))))))))))))))))))</f>
        <v>11</v>
      </c>
      <c r="L219" s="479">
        <f>IF(AND(L176&gt;H170,L176&lt;=I170),I167,IF(AND(L176&gt;I170,L176&lt;=J170),J167,IF(AND(L176&gt;J170,L176&lt;=K170),K167,IF(AND(L176&gt;K170,L176&lt;=L170),L167,IF(AND(L176&gt;L170,L176&lt;=M170),M167,IF(AND(L176&gt;M170,L176&lt;=N170),N167,IF(AND(L176&gt;N170,L176&lt;=O170),O167,IF(AND(L176&gt;O170,L176&lt;=P170),P167,IF(AND(L176&gt;P170,L176&lt;=Q170),Q167,IF(AND(L176&gt;Q170,L176&lt;=R170),R167,IF(AND(L176&gt;R170,L176&lt;=S170),S167,IF(AND(L176&gt;S170,L176&lt;=T170),T167,IF(AND(L176&gt;T170,L176&lt;=U170),U167,IF(AND(L176&gt;U170,L176&lt;=V170),V167,IF(AND(L176&gt;V170,L176&lt;=W170),W167,IF(AND(L176&gt;W170,L176&lt;=X170),X167,IF(AND(L176&gt;X170,L176&lt;=Y170),Y167,IF(AND(L176&gt;Y170,L176&lt;=Z170),Z167,IF(AND(L176&gt;Z170,L176&lt;=AA170),AA167,IF(AND(L176&gt;AA170,L176&lt;=AB170),AB167,$AC$167))))))))))))))))))))</f>
        <v>12</v>
      </c>
      <c r="M219" s="479">
        <f>IF(AND(M176&gt;I170,M176&lt;=J170),J167,IF(AND(M176&gt;J170,M176&lt;=K170),K167,IF(AND(M176&gt;K170,M176&lt;=L170),L167,IF(AND(M176&gt;L170,M176&lt;=M170),M167,IF(AND(M176&gt;M170,M176&lt;=N170),N167,IF(AND(M176&gt;N170,M176&lt;=O170),O167,IF(AND(M176&gt;O170,M176&lt;=P170),P167,IF(AND(M176&gt;P170,M176&lt;=Q170),Q167,IF(AND(M176&gt;Q170,M176&lt;=R170),R167,IF(AND(M176&gt;R170,M176&lt;=S170),S167,IF(AND(M176&gt;S170,M176&lt;=T170),T167,IF(AND(M176&gt;T170,M176&lt;=U170),U167,IF(AND(M176&gt;U170,M176&lt;=V170),V167,IF(AND(M176&gt;V170,M176&lt;=W170),W167,IF(AND(M176&gt;W170,M176&lt;=X170),X167,IF(AND(M176&gt;X170,M176&lt;=Y170),Y167,IF(AND(M176&gt;Y170,M176&lt;=Z170),Z167,IF(AND(M176&gt;Z170,M176&lt;=AA170),AA167,IF(AND(M176&gt;AA170,M176&lt;=AB170),AB167,$AC$167)))))))))))))))))))</f>
        <v>14</v>
      </c>
      <c r="N219" s="479">
        <f>IF(AND(N176&gt;J170,N176&lt;=K170),K167,IF(AND(N176&gt;K170,N176&lt;=L170),L167,IF(AND(N176&gt;L170,N176&lt;=M170),M167,IF(AND(N176&gt;M170,N176&lt;=N170),N167,IF(AND(N176&gt;N170,N176&lt;=O170),O167,IF(AND(N176&gt;O170,N176&lt;=P170),P167,IF(AND(N176&gt;P170,N176&lt;=Q170),Q167,IF(AND(N176&gt;Q170,N176&lt;=R170),R167,IF(AND(N176&gt;R170,N176&lt;=S170),S167,IF(AND(N176&gt;S170,N176&lt;=T170),T167,IF(AND(N176&gt;T170,N176&lt;=U170),U167,IF(AND(N176&gt;U170,N176&lt;=V170),V167,IF(AND(N176&gt;V170,N176&lt;=W170),W167,IF(AND(N176&gt;W170,N176&lt;=X170),X167,IF(AND(N176&gt;X170,N176&lt;=Y170),Y167,IF(AND(N176&gt;Y170,N176&lt;=Z170),Z167,IF(AND(N176&gt;Z170,N176&lt;=AA170),AA167,IF(AND(N176&gt;AA170,N176&lt;=AB170),AB167,$AC$167))))))))))))))))))</f>
        <v>15</v>
      </c>
      <c r="O219" s="479">
        <f>IF(AND(O176&gt;K170,O176&lt;=L170),L167,IF(AND(O176&gt;L170,O176&lt;=M170),M167,IF(AND(O176&gt;M170,O176&lt;=N170),N167,IF(AND(O176&gt;N170,O176&lt;=O170),O167,IF(AND(O176&gt;O170,O176&lt;=P170),P167,IF(AND(O176&gt;P170,O176&lt;=Q170),Q167,IF(AND(O176&gt;Q170,O176&lt;=R170),R167,IF(AND(O176&gt;R170,O176&lt;=S170),S167,IF(AND(O176&gt;S170,O176&lt;=T170),T167,IF(AND(O176&gt;T170,O176&lt;=U170),U167,IF(AND(O176&gt;U170,O176&lt;=V170),V167,IF(AND(O176&gt;V170,O176&lt;=W170),W167,IF(AND(O176&gt;W170,O176&lt;=X170),X167,IF(AND(O176&gt;X170,O176&lt;=Y170),Y167,IF(AND(O176&gt;Y170,O176&lt;=Z170),Z167,IF(AND(O176&gt;Z170,O176&lt;=AA170),AA167,IF(AND(O176&gt;AA170,O176&lt;=AB170),AB167,$AC$167)))))))))))))))))</f>
        <v>16</v>
      </c>
      <c r="P219" s="479">
        <f>IF(AND(P176&gt;L170,P176&lt;=M170),M167,IF(AND(P176&gt;M170,P176&lt;=N170),N167,IF(AND(P176&gt;N170,P176&lt;=O170),O167,IF(AND(P176&gt;O170,P176&lt;=P170),P167,IF(AND(P176&gt;P170,P176&lt;=Q170),Q167,IF(AND(P176&gt;Q170,P176&lt;=R170),R167,IF(AND(P176&gt;R170,P176&lt;=S170),S167,IF(AND(P176&gt;S170,P176&lt;=T170),T167,IF(AND(P176&gt;T170,P176&lt;=U170),U167,IF(AND(P176&gt;U170,P176&lt;=V170),V167,IF(AND(P176&gt;V170,P176&lt;=W170),W167,IF(AND(P176&gt;W170,P176&lt;=X170),X167,IF(AND(P176&gt;X170,P176&lt;=Y170),Y167,IF(AND(P176&gt;Y170,P176&lt;=Z170),Z167,IF(AND(P176&gt;Z170,P176&lt;=AA170),AA167,IF(AND(P176&gt;AA170,P176&lt;=AB170),AB167,$AC$167))))))))))))))))</f>
        <v>18</v>
      </c>
      <c r="Q219" s="479">
        <f>IF(AND(Q176&gt;M170,Q176&lt;=N170),N167,IF(AND(Q176&gt;N170,Q176&lt;=O170),O167,IF(AND(Q176&gt;O170,Q176&lt;=P170),P167,IF(AND(Q176&gt;P170,Q176&lt;=Q170),Q167,IF(AND(Q176&gt;Q170,Q176&lt;=R170),R167,IF(AND(Q176&gt;R170,Q176&lt;=S170),S167,IF(AND(Q176&gt;S170,Q176&lt;=T170),T167,IF(AND(Q176&gt;T170,Q176&lt;=U170),U167,IF(AND(Q176&gt;U170,Q176&lt;=V170),V167,IF(AND(Q176&gt;V170,Q176&lt;=W170),W167,IF(AND(Q176&gt;W170,Q176&lt;=X170),X167,IF(AND(Q176&gt;X170,Q176&lt;=Y170),Y167,IF(AND(Q176&gt;Y170,Q176&lt;=Z170),Z167,IF(AND(Q176&gt;Z170,Q176&lt;=AA170),AA167,IF(AND(Q176&gt;AA170,Q176&lt;=AB170),AB167,$AC$167)))))))))))))))</f>
        <v>19</v>
      </c>
      <c r="R219" s="479">
        <f>IF(AND(R176&gt;N170,R176&lt;=O170),O167,IF(AND(R176&gt;O170,R176&lt;=P170),P167,IF(AND(R176&gt;P170,R176&lt;=Q170),Q167,IF(AND(R176&gt;Q170,R176&lt;=R170),R167,IF(AND(R176&gt;R170,R176&lt;=S170),S167,IF(AND(R176&gt;S170,R176&lt;=T170),T167,IF(AND(R176&gt;T170,R176&lt;=U170),U167,IF(AND(R176&gt;U170,R176&lt;=V170),V167,IF(AND(R176&gt;V170,R176&lt;=W170),W167,IF(AND(R176&gt;W170,R176&lt;=X170),X167,IF(AND(R176&gt;X170,R176&lt;=Y170),Y167,IF(AND(R176&gt;Y170,R176&lt;=Z170),Z167,IF(AND(R176&gt;Z170,R176&lt;=AA170),AA167,IF(AND(R176&gt;AA170,R176&lt;=AB170),AB167,$AC$167))))))))))))))</f>
        <v>20</v>
      </c>
      <c r="S219" s="479">
        <f>IF(AND(S176&gt;O170,S176&lt;=P170),P167,IF(AND(S176&gt;P170,S176&lt;=Q170),Q167,IF(AND(S176&gt;Q170,S176&lt;=R170),R167,IF(AND(S176&gt;R170,S176&lt;=S170),S167,IF(AND(S176&gt;S170,S176&lt;=T170),T167,IF(AND(S176&gt;T170,S176&lt;=U170),U167,IF(AND(S176&gt;U170,S176&lt;=V170),V167,IF(AND(S176&gt;V170,S176&lt;=W170),W167,IF(AND(S176&gt;W170,S176&lt;=X170),X167,IF(AND(S176&gt;X170,S176&lt;=Y170),Y167,IF(AND(S176&gt;Y170,S176&lt;=Z170),Z167,IF(AND(S176&gt;Z170,S176&lt;=AA170),AA167,IF(AND(S176&gt;AA170,S176&lt;=AB170),AB167,$AC$167)))))))))))))</f>
        <v>22</v>
      </c>
      <c r="T219" s="479">
        <f>IF(AND(T176&gt;P170,T176&lt;=Q170),Q167,IF(AND(T176&gt;Q170,T176&lt;=R170),R167,IF(AND(T176&gt;R170,T176&lt;=S170),S167,IF(AND(T176&gt;S170,T176&lt;=T170),T167,IF(AND(T176&gt;T170,T176&lt;=U170),U167,IF(AND(T176&gt;U170,T176&lt;=V170),V167,IF(AND(T176&gt;V170,T176&lt;=W170),W167,IF(AND(T176&gt;W170,T176&lt;=X170),X167,IF(AND(T176&gt;X170,T176&lt;=Y170),Y167,IF(AND(T176&gt;Y170,T176&lt;=Z170),Z167,IF(AND(T176&gt;Z170,T176&lt;=AA170),AA167,IF(AND(T176&gt;AA170,T176&lt;=AB170),AB167,AC$167))))))))))))</f>
        <v>23</v>
      </c>
      <c r="U219" s="479">
        <f>IF(AND(U176&gt;Q170,U176&lt;=R170),R167,IF(AND(U176&gt;R170,U176&lt;=S170),S167,IF(AND(U176&gt;S170,U176&lt;=T170),T167,IF(AND(U176&gt;T170,U176&lt;=U170),U167,IF(AND(U176&gt;U170,U176&lt;=V170),V167,IF(AND(U176&gt;V170,U176&lt;=W170),W167,IF(AND(U176&gt;W170,U176&lt;=X170),X167,IF(AND(U176&gt;X170,U176&lt;=Y170),Y167,IF(AND(U176&gt;Y170,U176&lt;=Z170),Z167,IF(AND(U176&gt;Z170,U176&lt;=AA170),AA167,IF(AND(U176&gt;AA170,U176&lt;=AB170),AB167,$AC$167)))))))))))</f>
        <v>24</v>
      </c>
      <c r="V219" s="479">
        <f>IF(AND(V176&gt;R170,V176&lt;=S170),S167,IF(AND(V176&gt;S170,V176&lt;=T170),T167,IF(AND(V176&gt;T170,V176&lt;=U170),U167,IF(AND(V176&gt;U170,V176&lt;=V170),V167,IF(AND(V176&gt;V170,V176&lt;=W170),W167,IF(AND(V176&gt;W170,V176&lt;=X170),X167,IF(AND(V176&gt;X170,V176&lt;=Y170),Y167,IF(AND(V176&gt;Y170,V176&lt;=Z170),Z167,IF(AND(V176&gt;Z170,V176&lt;=AA170),AA167,IF(AND(V176&gt;AA170,V176&lt;=AB170),AB167,$AC$167))))))))))</f>
        <v>26</v>
      </c>
      <c r="W219" s="479">
        <f>IF(AND(W176&gt;S170,W176&lt;=T170),T167,IF(AND(W176&gt;T170,W176&lt;=U170),U167,IF(AND(W176&gt;U170,W176&lt;=V170),V167,IF(AND(W176&gt;V170,W176&lt;=W170),W167,IF(AND(W176&gt;W170,W176&lt;=X170),X167,IF(AND(W176&gt;X170,W176&lt;=Y170),Y167,IF(AND(W176&gt;Y170,W176&lt;=Z170),Z167,IF(AND(W176&gt;Z170,W176&lt;=AA170),AA167,IF(AND(W176&gt;AA170,W176&lt;=AB170),AB167,$AC$167)))))))))</f>
        <v>26</v>
      </c>
      <c r="X219" s="479">
        <f>IF(AND(X176&gt;T170,X176&lt;=U170),U167,IF(AND(X176&gt;U170,X176&lt;=V170),V167,IF(AND(X176&gt;V170,X176&lt;=W170),W167,IF(AND(X176&gt;W170,X176&lt;=X170),X167,IF(AND(X176&gt;X170,X176&lt;=Y170),Y167,IF(AND(X176&gt;Y170,X176&lt;=Z170),Z167,IF(AND(X176&gt;Z170,X176&lt;=AA170),AA167,IF(AND(X176&gt;AA170,X176&lt;=AB170),AB167,$AC$167))))))))</f>
        <v>26</v>
      </c>
      <c r="Y219" s="479">
        <f>IF(AND(Y176&gt;U170,Y176&lt;=V170),V167,IF(AND(Y176&gt;V170,Y176&lt;=W170),W167,IF(AND(Y176&gt;W170,Y176&lt;=X170),X167,IF(AND(Y176&gt;X170,Y176&lt;=Y170),Y167,IF(AND(Y176&gt;Y170,Y176&lt;=Z170),Z167,IF(AND(Y176&gt;Z170,Y176&lt;=AA170),AA167,IF(AND(Y176&gt;AA170,Y176&lt;=AB170),AB167,$AC$167)))))))</f>
        <v>26</v>
      </c>
      <c r="Z219" s="479">
        <f>IF(AND(Z176&gt;V170,Z176&lt;=W170),W167,IF(AND(Z176&gt;W170,Z176&lt;=X170),X167,IF(AND(Z176&gt;X170,Z176&lt;=Y170),Y167,IF(AND(Z176&gt;Y170,Z176&lt;=Z170),Z167,IF(AND(Z176&gt;Z170,Z176&lt;=AA170),AA167,IF(AND(Z176&gt;AA170,Z176&lt;=AB170),AB167,$AC$167))))))</f>
        <v>26</v>
      </c>
      <c r="AA219" s="479">
        <f>IF(AND(AA176&gt;W170,AA176&lt;=X170),X167,IF(AND(AA176&gt;X170,AA176&lt;=Y170),Y167,IF(AND(AA176&gt;Y170,AA176&lt;=Z170),Z167,IF(AND(AA176&gt;Z170,AA176&lt;=AA170),AA167,IF(AND(AA176&gt;AA170,AA176&lt;=AB170),AB167,$AC$167)))))</f>
        <v>26</v>
      </c>
      <c r="AB219" s="479">
        <f>IF(AND(AB176&gt;X170,AB176&lt;=Y170),Y167,IF(AND(AB176&gt;Y170,AB176&lt;=Z170),Z167,IF(AND(AB176&gt;Z170,AB176&lt;=AA170),AA167,IF(AND(AB176&gt;AA170,AB176&lt;=AB170),AB167,$AC$167))))</f>
        <v>26</v>
      </c>
      <c r="AC219" s="479">
        <f>IF(AND(AC176&gt;Y170,AC176&lt;=Z170),Z167,IF(AND(AC176&gt;Z170,AC176&lt;=AA170),AA167,IF(AND(AC176&gt;AA170,AC176&lt;=AB170),AB167,$AC$167)))</f>
        <v>26</v>
      </c>
    </row>
    <row r="220" spans="2:39" ht="15" hidden="1">
      <c r="B220" s="130" t="s">
        <v>87</v>
      </c>
      <c r="C220" s="147">
        <f>HLOOKUP(C$219,$C$167:$AC$174,2,FALSE)</f>
        <v>0</v>
      </c>
      <c r="D220" s="147">
        <f t="shared" ref="D220:AC220" si="62">HLOOKUP(D$219,$C$167:$AC$174,2,FALSE)</f>
        <v>1</v>
      </c>
      <c r="E220" s="147">
        <f t="shared" si="62"/>
        <v>1018</v>
      </c>
      <c r="F220" s="147">
        <f>HLOOKUP(F$219,$C$167:$AC$174,2,FALSE)</f>
        <v>2262</v>
      </c>
      <c r="G220" s="147">
        <f t="shared" si="62"/>
        <v>3769</v>
      </c>
      <c r="H220" s="479">
        <f t="shared" si="62"/>
        <v>4523</v>
      </c>
      <c r="I220" s="479">
        <f t="shared" si="62"/>
        <v>5277</v>
      </c>
      <c r="J220" s="479">
        <f t="shared" si="62"/>
        <v>6784</v>
      </c>
      <c r="K220" s="479">
        <f t="shared" si="62"/>
        <v>7538</v>
      </c>
      <c r="L220" s="479">
        <f t="shared" si="62"/>
        <v>8291</v>
      </c>
      <c r="M220" s="479">
        <f t="shared" si="62"/>
        <v>9798</v>
      </c>
      <c r="N220" s="479">
        <f t="shared" si="62"/>
        <v>10552</v>
      </c>
      <c r="O220" s="479">
        <f t="shared" si="62"/>
        <v>11306</v>
      </c>
      <c r="P220" s="479">
        <f t="shared" si="62"/>
        <v>12813</v>
      </c>
      <c r="Q220" s="479">
        <f t="shared" si="62"/>
        <v>13567</v>
      </c>
      <c r="R220" s="479">
        <f t="shared" si="62"/>
        <v>14320</v>
      </c>
      <c r="S220" s="479">
        <f t="shared" si="62"/>
        <v>15828</v>
      </c>
      <c r="T220" s="479">
        <f t="shared" si="62"/>
        <v>16581</v>
      </c>
      <c r="U220" s="479">
        <f t="shared" si="62"/>
        <v>17335</v>
      </c>
      <c r="V220" s="479">
        <f t="shared" si="62"/>
        <v>18842</v>
      </c>
      <c r="W220" s="479">
        <f t="shared" si="62"/>
        <v>18842</v>
      </c>
      <c r="X220" s="479">
        <f>HLOOKUP(X$219,$C$167:$AC$174,2,FALSE)</f>
        <v>18842</v>
      </c>
      <c r="Y220" s="479">
        <f t="shared" si="62"/>
        <v>18842</v>
      </c>
      <c r="Z220" s="479">
        <f t="shared" si="62"/>
        <v>18842</v>
      </c>
      <c r="AA220" s="479">
        <f t="shared" si="62"/>
        <v>18842</v>
      </c>
      <c r="AB220" s="479">
        <f t="shared" si="62"/>
        <v>18842</v>
      </c>
      <c r="AC220" s="479">
        <f t="shared" si="62"/>
        <v>18842</v>
      </c>
    </row>
    <row r="221" spans="2:39" ht="15" hidden="1">
      <c r="B221" s="130" t="s">
        <v>88</v>
      </c>
      <c r="C221" s="147">
        <f>HLOOKUP(C$219,$C$167:$AC$174,4,FALSE)</f>
        <v>0</v>
      </c>
      <c r="D221" s="147">
        <f t="shared" ref="D221:AB221" si="63">HLOOKUP(D$219,$C$167:$AC$174,4,FALSE)</f>
        <v>1017</v>
      </c>
      <c r="E221" s="147">
        <f t="shared" si="63"/>
        <v>2035</v>
      </c>
      <c r="F221" s="147">
        <f t="shared" si="63"/>
        <v>3015</v>
      </c>
      <c r="G221" s="147">
        <f t="shared" si="63"/>
        <v>4522</v>
      </c>
      <c r="H221" s="479">
        <f t="shared" si="63"/>
        <v>5276</v>
      </c>
      <c r="I221" s="479">
        <f t="shared" si="63"/>
        <v>6029</v>
      </c>
      <c r="J221" s="479">
        <f t="shared" si="63"/>
        <v>7537</v>
      </c>
      <c r="K221" s="479">
        <f t="shared" si="63"/>
        <v>8290</v>
      </c>
      <c r="L221" s="479">
        <f t="shared" si="63"/>
        <v>9044</v>
      </c>
      <c r="M221" s="479">
        <f t="shared" si="63"/>
        <v>10551</v>
      </c>
      <c r="N221" s="479">
        <f t="shared" si="63"/>
        <v>11305</v>
      </c>
      <c r="O221" s="479">
        <f t="shared" si="63"/>
        <v>12058</v>
      </c>
      <c r="P221" s="479">
        <f t="shared" si="63"/>
        <v>13566</v>
      </c>
      <c r="Q221" s="479">
        <f t="shared" si="63"/>
        <v>14319</v>
      </c>
      <c r="R221" s="479">
        <f t="shared" si="63"/>
        <v>15073</v>
      </c>
      <c r="S221" s="479">
        <f t="shared" si="63"/>
        <v>16580</v>
      </c>
      <c r="T221" s="479">
        <f t="shared" si="63"/>
        <v>17334</v>
      </c>
      <c r="U221" s="479">
        <f t="shared" si="63"/>
        <v>18088</v>
      </c>
      <c r="V221" s="479">
        <f t="shared" si="63"/>
        <v>41086</v>
      </c>
      <c r="W221" s="479">
        <f t="shared" si="63"/>
        <v>41086</v>
      </c>
      <c r="X221" s="479">
        <f t="shared" si="63"/>
        <v>41086</v>
      </c>
      <c r="Y221" s="479">
        <f t="shared" si="63"/>
        <v>41086</v>
      </c>
      <c r="Z221" s="479">
        <f t="shared" si="63"/>
        <v>41086</v>
      </c>
      <c r="AA221" s="479">
        <f t="shared" si="63"/>
        <v>41086</v>
      </c>
      <c r="AB221" s="479">
        <f t="shared" si="63"/>
        <v>41086</v>
      </c>
      <c r="AC221" s="479">
        <f>HLOOKUP(AC$219,$C$167:$AC$174,4,FALSE)</f>
        <v>41086</v>
      </c>
    </row>
    <row r="222" spans="2:39" ht="15" hidden="1">
      <c r="B222" s="130" t="s">
        <v>86</v>
      </c>
      <c r="C222" s="438">
        <f>HLOOKUP(C$219,$C$167:$AC$174,8,FALSE)</f>
        <v>67031</v>
      </c>
      <c r="D222" s="438">
        <f t="shared" ref="D222:AB222" si="64">HLOOKUP(D$219,$C$167:$AC$174,8,FALSE)</f>
        <v>150917</v>
      </c>
      <c r="E222" s="438">
        <f t="shared" si="64"/>
        <v>269734</v>
      </c>
      <c r="F222" s="438">
        <f>HLOOKUP(F$219,$C$167:$AC$174,8,FALSE)</f>
        <v>504142</v>
      </c>
      <c r="G222" s="438">
        <f t="shared" si="64"/>
        <v>658534</v>
      </c>
      <c r="H222" s="561">
        <f t="shared" si="64"/>
        <v>703533</v>
      </c>
      <c r="I222" s="561">
        <f t="shared" si="64"/>
        <v>738937</v>
      </c>
      <c r="J222" s="561">
        <f t="shared" si="64"/>
        <v>780698</v>
      </c>
      <c r="K222" s="561">
        <f t="shared" si="64"/>
        <v>792630</v>
      </c>
      <c r="L222" s="561">
        <f t="shared" si="64"/>
        <v>804068</v>
      </c>
      <c r="M222" s="561">
        <f t="shared" si="64"/>
        <v>818512</v>
      </c>
      <c r="N222" s="561">
        <f t="shared" si="64"/>
        <v>823277</v>
      </c>
      <c r="O222" s="561">
        <f t="shared" si="64"/>
        <v>828281</v>
      </c>
      <c r="P222" s="561">
        <f t="shared" si="64"/>
        <v>835399</v>
      </c>
      <c r="Q222" s="561">
        <f t="shared" si="64"/>
        <v>837970</v>
      </c>
      <c r="R222" s="561">
        <f t="shared" si="64"/>
        <v>840919</v>
      </c>
      <c r="S222" s="561">
        <f t="shared" si="64"/>
        <v>846334</v>
      </c>
      <c r="T222" s="561">
        <f t="shared" si="64"/>
        <v>848838</v>
      </c>
      <c r="U222" s="561">
        <f t="shared" si="64"/>
        <v>851107</v>
      </c>
      <c r="V222" s="561">
        <f t="shared" si="64"/>
        <v>864403</v>
      </c>
      <c r="W222" s="561">
        <f t="shared" si="64"/>
        <v>864403</v>
      </c>
      <c r="X222" s="561">
        <f t="shared" si="64"/>
        <v>864403</v>
      </c>
      <c r="Y222" s="561">
        <f t="shared" si="64"/>
        <v>864403</v>
      </c>
      <c r="Z222" s="561">
        <f t="shared" si="64"/>
        <v>864403</v>
      </c>
      <c r="AA222" s="561">
        <f t="shared" si="64"/>
        <v>864403</v>
      </c>
      <c r="AB222" s="561">
        <f t="shared" si="64"/>
        <v>864403</v>
      </c>
      <c r="AC222" s="561">
        <f>HLOOKUP(AC$219,$C$167:$AC$174,8,FALSE)</f>
        <v>864403</v>
      </c>
    </row>
    <row r="223" spans="2:39" ht="15" hidden="1">
      <c r="B223" s="130" t="s">
        <v>90</v>
      </c>
      <c r="C223" s="438">
        <v>0</v>
      </c>
      <c r="D223" s="438">
        <f t="shared" ref="D223:AC223" si="65">HLOOKUP(D$219,$C$167:$AC$174,5,FALSE)</f>
        <v>82.483775811209441</v>
      </c>
      <c r="E223" s="438">
        <f t="shared" si="65"/>
        <v>116.71611001964637</v>
      </c>
      <c r="F223" s="438">
        <f>HLOOKUP(F$219,$C$167:$AC$174,5,FALSE)</f>
        <v>150.4628647214854</v>
      </c>
      <c r="G223" s="438">
        <f t="shared" si="65"/>
        <v>89.641909814323611</v>
      </c>
      <c r="H223" s="561">
        <f t="shared" si="65"/>
        <v>59.680371352785144</v>
      </c>
      <c r="I223" s="561">
        <f t="shared" si="65"/>
        <v>47.017264276228417</v>
      </c>
      <c r="J223" s="561">
        <f t="shared" si="65"/>
        <v>25.698938992042439</v>
      </c>
      <c r="K223" s="561">
        <f t="shared" si="65"/>
        <v>15.845949535192563</v>
      </c>
      <c r="L223" s="561">
        <f t="shared" si="65"/>
        <v>15.169761273209549</v>
      </c>
      <c r="M223" s="561">
        <f t="shared" si="65"/>
        <v>9.6100795755968171</v>
      </c>
      <c r="N223" s="561">
        <f t="shared" si="65"/>
        <v>6.319628647214854</v>
      </c>
      <c r="O223" s="561">
        <f t="shared" si="65"/>
        <v>6.6454183266932274</v>
      </c>
      <c r="P223" s="561">
        <f t="shared" si="65"/>
        <v>4.8726790450928386</v>
      </c>
      <c r="Q223" s="561">
        <f t="shared" si="65"/>
        <v>3.4143426294820718</v>
      </c>
      <c r="R223" s="561">
        <f t="shared" si="65"/>
        <v>3.9111405835543764</v>
      </c>
      <c r="S223" s="561">
        <f t="shared" si="65"/>
        <v>3.5232403718459495</v>
      </c>
      <c r="T223" s="561">
        <f t="shared" si="65"/>
        <v>3.3209549071618039</v>
      </c>
      <c r="U223" s="561">
        <f t="shared" si="65"/>
        <v>3.0092838196286471</v>
      </c>
      <c r="V223" s="561">
        <f t="shared" si="65"/>
        <v>0.52429759496516071</v>
      </c>
      <c r="W223" s="561">
        <f t="shared" si="65"/>
        <v>0.52429759496516071</v>
      </c>
      <c r="X223" s="561">
        <f t="shared" si="65"/>
        <v>0.52429759496516071</v>
      </c>
      <c r="Y223" s="561">
        <f t="shared" si="65"/>
        <v>0.52429759496516071</v>
      </c>
      <c r="Z223" s="561">
        <f t="shared" si="65"/>
        <v>0.52429759496516071</v>
      </c>
      <c r="AA223" s="561">
        <f>HLOOKUP(AA$219,$C$167:$AC$174,5,FALSE)</f>
        <v>0.52429759496516071</v>
      </c>
      <c r="AB223" s="561">
        <f t="shared" si="65"/>
        <v>0.52429759496516071</v>
      </c>
      <c r="AC223" s="561">
        <f t="shared" si="65"/>
        <v>0.52429759496516071</v>
      </c>
    </row>
    <row r="224" spans="2:39" ht="15" hidden="1">
      <c r="B224" s="130" t="s">
        <v>91</v>
      </c>
      <c r="C224" s="438">
        <f>C221-C176</f>
        <v>0</v>
      </c>
      <c r="D224" s="438">
        <f t="shared" ref="D224:AA224" si="66">D221-D176</f>
        <v>17</v>
      </c>
      <c r="E224" s="438">
        <f>E221-E176</f>
        <v>35</v>
      </c>
      <c r="F224" s="438">
        <f>F221-F176</f>
        <v>15</v>
      </c>
      <c r="G224" s="438">
        <f t="shared" si="66"/>
        <v>522</v>
      </c>
      <c r="H224" s="561">
        <f t="shared" si="66"/>
        <v>276</v>
      </c>
      <c r="I224" s="561">
        <f t="shared" si="66"/>
        <v>29</v>
      </c>
      <c r="J224" s="561">
        <f t="shared" si="66"/>
        <v>537</v>
      </c>
      <c r="K224" s="561">
        <f t="shared" si="66"/>
        <v>290</v>
      </c>
      <c r="L224" s="561">
        <f t="shared" si="66"/>
        <v>44</v>
      </c>
      <c r="M224" s="561">
        <f t="shared" si="66"/>
        <v>551</v>
      </c>
      <c r="N224" s="561">
        <f t="shared" si="66"/>
        <v>305</v>
      </c>
      <c r="O224" s="561">
        <f t="shared" si="66"/>
        <v>58</v>
      </c>
      <c r="P224" s="561">
        <f t="shared" si="66"/>
        <v>566</v>
      </c>
      <c r="Q224" s="561">
        <f t="shared" si="66"/>
        <v>319</v>
      </c>
      <c r="R224" s="561">
        <f t="shared" si="66"/>
        <v>73</v>
      </c>
      <c r="S224" s="561">
        <f t="shared" si="66"/>
        <v>580</v>
      </c>
      <c r="T224" s="561">
        <f t="shared" si="66"/>
        <v>334</v>
      </c>
      <c r="U224" s="561">
        <f>U221-U176</f>
        <v>88</v>
      </c>
      <c r="V224" s="561">
        <f>V221-V176</f>
        <v>22086</v>
      </c>
      <c r="W224" s="561">
        <f>W221-W176</f>
        <v>21086</v>
      </c>
      <c r="X224" s="561">
        <f t="shared" si="66"/>
        <v>20086</v>
      </c>
      <c r="Y224" s="561">
        <f>Y221-Y176</f>
        <v>19086</v>
      </c>
      <c r="Z224" s="561">
        <f>Z221-Z176</f>
        <v>18086</v>
      </c>
      <c r="AA224" s="561">
        <f t="shared" si="66"/>
        <v>17086</v>
      </c>
      <c r="AB224" s="561">
        <f>AB221-AB176</f>
        <v>16086</v>
      </c>
      <c r="AC224" s="561">
        <f>AC221-AC176</f>
        <v>0</v>
      </c>
    </row>
    <row r="225" spans="2:39" ht="15" hidden="1">
      <c r="B225" s="130" t="s">
        <v>92</v>
      </c>
      <c r="C225" s="438">
        <f>C224*C223</f>
        <v>0</v>
      </c>
      <c r="D225" s="438">
        <f>D224*D223</f>
        <v>1402.2241887905604</v>
      </c>
      <c r="E225" s="438">
        <f t="shared" ref="E225:AC225" si="67">E224*E223</f>
        <v>4085.0638506876226</v>
      </c>
      <c r="F225" s="438">
        <f>F224*F223</f>
        <v>2256.942970822281</v>
      </c>
      <c r="G225" s="438">
        <f t="shared" si="67"/>
        <v>46793.076923076922</v>
      </c>
      <c r="H225" s="561">
        <f t="shared" si="67"/>
        <v>16471.782493368701</v>
      </c>
      <c r="I225" s="561">
        <f t="shared" si="67"/>
        <v>1363.5006640106242</v>
      </c>
      <c r="J225" s="561">
        <f t="shared" si="67"/>
        <v>13800.33023872679</v>
      </c>
      <c r="K225" s="561">
        <f t="shared" si="67"/>
        <v>4595.3253652058429</v>
      </c>
      <c r="L225" s="561">
        <f t="shared" si="67"/>
        <v>667.46949602122015</v>
      </c>
      <c r="M225" s="561">
        <f t="shared" si="67"/>
        <v>5295.1538461538466</v>
      </c>
      <c r="N225" s="561">
        <f t="shared" si="67"/>
        <v>1927.4867374005305</v>
      </c>
      <c r="O225" s="561">
        <f t="shared" si="67"/>
        <v>385.43426294820716</v>
      </c>
      <c r="P225" s="561">
        <f t="shared" si="67"/>
        <v>2757.9363395225464</v>
      </c>
      <c r="Q225" s="561">
        <f t="shared" si="67"/>
        <v>1089.1752988047808</v>
      </c>
      <c r="R225" s="561">
        <f t="shared" si="67"/>
        <v>285.5132625994695</v>
      </c>
      <c r="S225" s="561">
        <f t="shared" si="67"/>
        <v>2043.4794156706507</v>
      </c>
      <c r="T225" s="561">
        <f t="shared" si="67"/>
        <v>1109.1989389920425</v>
      </c>
      <c r="U225" s="561">
        <f t="shared" si="67"/>
        <v>264.81697612732097</v>
      </c>
      <c r="V225" s="561">
        <f t="shared" si="67"/>
        <v>11579.63668240054</v>
      </c>
      <c r="W225" s="561">
        <f>W224*W223</f>
        <v>11055.339087435379</v>
      </c>
      <c r="X225" s="561">
        <f>X224*X223</f>
        <v>10531.041492470218</v>
      </c>
      <c r="Y225" s="561">
        <f>Y224*Y223</f>
        <v>10006.743897505057</v>
      </c>
      <c r="Z225" s="561">
        <f t="shared" si="67"/>
        <v>9482.4463025398964</v>
      </c>
      <c r="AA225" s="561">
        <f t="shared" si="67"/>
        <v>8958.1487075747355</v>
      </c>
      <c r="AB225" s="561">
        <f t="shared" si="67"/>
        <v>8433.8511126095746</v>
      </c>
      <c r="AC225" s="561">
        <f t="shared" si="67"/>
        <v>0</v>
      </c>
    </row>
    <row r="226" spans="2:39" ht="15" hidden="1">
      <c r="B226" s="130" t="s">
        <v>89</v>
      </c>
      <c r="C226" s="438">
        <f>C222-C225</f>
        <v>67031</v>
      </c>
      <c r="D226" s="438">
        <f>D222-D225</f>
        <v>149514.77581120943</v>
      </c>
      <c r="E226" s="438">
        <f>E222-E225</f>
        <v>265648.93614931236</v>
      </c>
      <c r="F226" s="438">
        <f>F222-F225</f>
        <v>501885.05702917773</v>
      </c>
      <c r="G226" s="438">
        <f t="shared" ref="G226:AB226" si="68">G222-G225</f>
        <v>611740.92307692312</v>
      </c>
      <c r="H226" s="561">
        <f t="shared" si="68"/>
        <v>687061.21750663128</v>
      </c>
      <c r="I226" s="561">
        <f t="shared" si="68"/>
        <v>737573.49933598936</v>
      </c>
      <c r="J226" s="561">
        <f t="shared" si="68"/>
        <v>766897.6697612732</v>
      </c>
      <c r="K226" s="561">
        <f t="shared" si="68"/>
        <v>788034.67463479412</v>
      </c>
      <c r="L226" s="561">
        <f t="shared" si="68"/>
        <v>803400.53050397884</v>
      </c>
      <c r="M226" s="561">
        <f t="shared" si="68"/>
        <v>813216.84615384613</v>
      </c>
      <c r="N226" s="561">
        <f t="shared" si="68"/>
        <v>821349.51326259947</v>
      </c>
      <c r="O226" s="561">
        <f t="shared" si="68"/>
        <v>827895.56573705177</v>
      </c>
      <c r="P226" s="561">
        <f t="shared" si="68"/>
        <v>832641.0636604774</v>
      </c>
      <c r="Q226" s="561">
        <f t="shared" si="68"/>
        <v>836880.82470119523</v>
      </c>
      <c r="R226" s="561">
        <f t="shared" si="68"/>
        <v>840633.48673740053</v>
      </c>
      <c r="S226" s="561">
        <f>S222-S225</f>
        <v>844290.52058432938</v>
      </c>
      <c r="T226" s="561">
        <f t="shared" si="68"/>
        <v>847728.80106100801</v>
      </c>
      <c r="U226" s="561">
        <f t="shared" si="68"/>
        <v>850842.18302387267</v>
      </c>
      <c r="V226" s="561">
        <f t="shared" si="68"/>
        <v>852823.3633175994</v>
      </c>
      <c r="W226" s="561">
        <f>W222-W225</f>
        <v>853347.66091256461</v>
      </c>
      <c r="X226" s="561">
        <f t="shared" si="68"/>
        <v>853871.95850752981</v>
      </c>
      <c r="Y226" s="561">
        <f t="shared" si="68"/>
        <v>854396.2561024949</v>
      </c>
      <c r="Z226" s="561">
        <f>Z222-Z225</f>
        <v>854920.5536974601</v>
      </c>
      <c r="AA226" s="561">
        <f t="shared" si="68"/>
        <v>855444.8512924253</v>
      </c>
      <c r="AB226" s="561">
        <f t="shared" si="68"/>
        <v>855969.14888739039</v>
      </c>
      <c r="AC226" s="561">
        <f>AC222-AC225</f>
        <v>864403</v>
      </c>
    </row>
    <row r="227" spans="2:39" ht="15" hidden="1">
      <c r="B227" s="130"/>
      <c r="C227" s="438"/>
      <c r="D227" s="147"/>
      <c r="E227" s="147"/>
      <c r="F227" s="147"/>
      <c r="G227" s="147"/>
      <c r="H227" s="479"/>
      <c r="I227" s="479"/>
      <c r="J227" s="479"/>
      <c r="K227" s="479"/>
      <c r="L227" s="479"/>
      <c r="M227" s="479"/>
      <c r="N227" s="479"/>
      <c r="O227" s="479"/>
      <c r="P227" s="479"/>
      <c r="Q227" s="479"/>
      <c r="R227" s="479"/>
      <c r="S227" s="479"/>
      <c r="T227" s="479"/>
      <c r="U227" s="479"/>
      <c r="V227" s="479"/>
      <c r="W227" s="479"/>
      <c r="X227" s="479"/>
      <c r="Y227" s="479"/>
      <c r="Z227" s="479"/>
      <c r="AA227" s="479"/>
      <c r="AB227" s="479"/>
      <c r="AC227" s="479"/>
    </row>
    <row r="228" spans="2:39" ht="15" hidden="1">
      <c r="B228" s="130" t="s">
        <v>93</v>
      </c>
      <c r="C228" s="437">
        <v>0</v>
      </c>
      <c r="D228" s="435">
        <v>1000</v>
      </c>
      <c r="E228" s="435">
        <v>2000</v>
      </c>
      <c r="F228" s="435">
        <v>3000</v>
      </c>
      <c r="G228" s="435">
        <v>4000</v>
      </c>
      <c r="H228" s="560">
        <v>5000</v>
      </c>
      <c r="I228" s="560">
        <v>6000</v>
      </c>
      <c r="J228" s="560">
        <v>7000</v>
      </c>
      <c r="K228" s="560">
        <v>8000</v>
      </c>
      <c r="L228" s="560">
        <v>9000</v>
      </c>
      <c r="M228" s="560">
        <v>10000</v>
      </c>
      <c r="N228" s="560">
        <v>11000</v>
      </c>
      <c r="O228" s="560">
        <v>12000</v>
      </c>
      <c r="P228" s="560">
        <v>13000</v>
      </c>
      <c r="Q228" s="560">
        <v>14000</v>
      </c>
      <c r="R228" s="560">
        <v>15000</v>
      </c>
      <c r="S228" s="560">
        <v>16000</v>
      </c>
      <c r="T228" s="560">
        <v>17000</v>
      </c>
      <c r="U228" s="560">
        <v>18000</v>
      </c>
      <c r="V228" s="560">
        <v>19000</v>
      </c>
      <c r="W228" s="560">
        <v>20000</v>
      </c>
      <c r="X228" s="560">
        <v>21000</v>
      </c>
      <c r="Y228" s="560">
        <v>22000</v>
      </c>
      <c r="Z228" s="560">
        <v>23000</v>
      </c>
      <c r="AA228" s="560">
        <v>24000</v>
      </c>
      <c r="AB228" s="560">
        <v>25000</v>
      </c>
      <c r="AC228" s="560" t="s">
        <v>38</v>
      </c>
    </row>
    <row r="229" spans="2:39" hidden="1">
      <c r="B229" s="147" t="s">
        <v>39</v>
      </c>
      <c r="C229" s="437">
        <f>C235</f>
        <v>0</v>
      </c>
      <c r="D229" s="435" t="str">
        <f t="shared" ref="D229:AB229" si="69">C235+1&amp;" - "&amp;D235</f>
        <v>1 - 1000</v>
      </c>
      <c r="E229" s="435" t="str">
        <f t="shared" si="69"/>
        <v>1001 - 2000</v>
      </c>
      <c r="F229" s="435" t="str">
        <f t="shared" si="69"/>
        <v>2001 - 3000</v>
      </c>
      <c r="G229" s="435" t="str">
        <f t="shared" si="69"/>
        <v>3001 - 4000</v>
      </c>
      <c r="H229" s="560" t="str">
        <f t="shared" si="69"/>
        <v>4001 - 5000</v>
      </c>
      <c r="I229" s="560" t="str">
        <f t="shared" si="69"/>
        <v>5001 - 6000</v>
      </c>
      <c r="J229" s="560" t="str">
        <f t="shared" si="69"/>
        <v>6001 - 7000</v>
      </c>
      <c r="K229" s="560" t="str">
        <f t="shared" si="69"/>
        <v>7001 - 8000</v>
      </c>
      <c r="L229" s="560" t="str">
        <f t="shared" si="69"/>
        <v>8001 - 9000</v>
      </c>
      <c r="M229" s="560" t="str">
        <f t="shared" si="69"/>
        <v>9001 - 10000</v>
      </c>
      <c r="N229" s="560" t="str">
        <f t="shared" si="69"/>
        <v>10001 - 11000</v>
      </c>
      <c r="O229" s="560" t="str">
        <f t="shared" si="69"/>
        <v>11001 - 12000</v>
      </c>
      <c r="P229" s="560" t="str">
        <f t="shared" si="69"/>
        <v>12001 - 13000</v>
      </c>
      <c r="Q229" s="560" t="str">
        <f t="shared" si="69"/>
        <v>13001 - 14000</v>
      </c>
      <c r="R229" s="560" t="str">
        <f t="shared" si="69"/>
        <v>14001 - 15000</v>
      </c>
      <c r="S229" s="560" t="str">
        <f t="shared" si="69"/>
        <v>15001 - 16000</v>
      </c>
      <c r="T229" s="560" t="str">
        <f t="shared" si="69"/>
        <v>16001 - 17000</v>
      </c>
      <c r="U229" s="560" t="str">
        <f t="shared" si="69"/>
        <v>17001 - 18000</v>
      </c>
      <c r="V229" s="560" t="str">
        <f t="shared" si="69"/>
        <v>18001 - 19000</v>
      </c>
      <c r="W229" s="560" t="str">
        <f t="shared" si="69"/>
        <v>19001 - 20000</v>
      </c>
      <c r="X229" s="560" t="str">
        <f t="shared" si="69"/>
        <v>20001 - 21000</v>
      </c>
      <c r="Y229" s="560" t="str">
        <f t="shared" si="69"/>
        <v>21001 - 22000</v>
      </c>
      <c r="Z229" s="560" t="str">
        <f t="shared" si="69"/>
        <v>22001 - 23000</v>
      </c>
      <c r="AA229" s="560" t="str">
        <f t="shared" si="69"/>
        <v>23001 - 24000</v>
      </c>
      <c r="AB229" s="560" t="str">
        <f t="shared" si="69"/>
        <v>24001 - 25000</v>
      </c>
      <c r="AC229" s="560" t="s">
        <v>38</v>
      </c>
    </row>
    <row r="230" spans="2:39" ht="15" hidden="1">
      <c r="B230" s="130" t="s">
        <v>94</v>
      </c>
      <c r="C230" s="438">
        <f t="shared" ref="C230:AC230" si="70">C226</f>
        <v>67031</v>
      </c>
      <c r="D230" s="438">
        <f t="shared" si="70"/>
        <v>149514.77581120943</v>
      </c>
      <c r="E230" s="438">
        <f t="shared" si="70"/>
        <v>265648.93614931236</v>
      </c>
      <c r="F230" s="438">
        <f t="shared" si="70"/>
        <v>501885.05702917773</v>
      </c>
      <c r="G230" s="438">
        <f t="shared" si="70"/>
        <v>611740.92307692312</v>
      </c>
      <c r="H230" s="561">
        <f t="shared" si="70"/>
        <v>687061.21750663128</v>
      </c>
      <c r="I230" s="561">
        <f t="shared" si="70"/>
        <v>737573.49933598936</v>
      </c>
      <c r="J230" s="561">
        <f t="shared" si="70"/>
        <v>766897.6697612732</v>
      </c>
      <c r="K230" s="561">
        <f t="shared" si="70"/>
        <v>788034.67463479412</v>
      </c>
      <c r="L230" s="561">
        <f t="shared" si="70"/>
        <v>803400.53050397884</v>
      </c>
      <c r="M230" s="561">
        <f t="shared" si="70"/>
        <v>813216.84615384613</v>
      </c>
      <c r="N230" s="561">
        <f t="shared" si="70"/>
        <v>821349.51326259947</v>
      </c>
      <c r="O230" s="561">
        <f t="shared" si="70"/>
        <v>827895.56573705177</v>
      </c>
      <c r="P230" s="561">
        <f t="shared" si="70"/>
        <v>832641.0636604774</v>
      </c>
      <c r="Q230" s="561">
        <f t="shared" si="70"/>
        <v>836880.82470119523</v>
      </c>
      <c r="R230" s="561">
        <f t="shared" si="70"/>
        <v>840633.48673740053</v>
      </c>
      <c r="S230" s="561">
        <f t="shared" si="70"/>
        <v>844290.52058432938</v>
      </c>
      <c r="T230" s="561">
        <f t="shared" si="70"/>
        <v>847728.80106100801</v>
      </c>
      <c r="U230" s="561">
        <f t="shared" si="70"/>
        <v>850842.18302387267</v>
      </c>
      <c r="V230" s="561">
        <f t="shared" si="70"/>
        <v>852823.3633175994</v>
      </c>
      <c r="W230" s="561">
        <f t="shared" si="70"/>
        <v>853347.66091256461</v>
      </c>
      <c r="X230" s="561">
        <f t="shared" si="70"/>
        <v>853871.95850752981</v>
      </c>
      <c r="Y230" s="561">
        <f t="shared" si="70"/>
        <v>854396.2561024949</v>
      </c>
      <c r="Z230" s="561">
        <f t="shared" si="70"/>
        <v>854920.5536974601</v>
      </c>
      <c r="AA230" s="561">
        <f t="shared" si="70"/>
        <v>855444.8512924253</v>
      </c>
      <c r="AB230" s="561">
        <f t="shared" si="70"/>
        <v>855969.14888739039</v>
      </c>
      <c r="AC230" s="561">
        <f t="shared" si="70"/>
        <v>864403</v>
      </c>
    </row>
    <row r="231" spans="2:39" ht="15" hidden="1">
      <c r="B231" s="130" t="s">
        <v>95</v>
      </c>
      <c r="C231" s="438">
        <f>C230</f>
        <v>67031</v>
      </c>
      <c r="D231" s="451">
        <f t="shared" ref="D231:AC231" si="71">D230-C230</f>
        <v>82483.775811209431</v>
      </c>
      <c r="E231" s="451">
        <f t="shared" si="71"/>
        <v>116134.16033810293</v>
      </c>
      <c r="F231" s="451">
        <f t="shared" si="71"/>
        <v>236236.12087986537</v>
      </c>
      <c r="G231" s="451">
        <f t="shared" si="71"/>
        <v>109855.8660477454</v>
      </c>
      <c r="H231" s="574">
        <f t="shared" si="71"/>
        <v>75320.294429708156</v>
      </c>
      <c r="I231" s="574">
        <f t="shared" si="71"/>
        <v>50512.281829358079</v>
      </c>
      <c r="J231" s="574">
        <f t="shared" si="71"/>
        <v>29324.170425283839</v>
      </c>
      <c r="K231" s="574">
        <f t="shared" si="71"/>
        <v>21137.004873520928</v>
      </c>
      <c r="L231" s="574">
        <f t="shared" si="71"/>
        <v>15365.855869184714</v>
      </c>
      <c r="M231" s="574">
        <f t="shared" si="71"/>
        <v>9816.3156498672906</v>
      </c>
      <c r="N231" s="574">
        <f t="shared" si="71"/>
        <v>8132.6671087533468</v>
      </c>
      <c r="O231" s="574">
        <f t="shared" si="71"/>
        <v>6546.0524744522991</v>
      </c>
      <c r="P231" s="574">
        <f t="shared" si="71"/>
        <v>4745.4979234256316</v>
      </c>
      <c r="Q231" s="574">
        <f t="shared" si="71"/>
        <v>4239.761040717829</v>
      </c>
      <c r="R231" s="574">
        <f t="shared" si="71"/>
        <v>3752.6620362052927</v>
      </c>
      <c r="S231" s="574">
        <f t="shared" si="71"/>
        <v>3657.0338469288545</v>
      </c>
      <c r="T231" s="574">
        <f t="shared" si="71"/>
        <v>3438.2804766786285</v>
      </c>
      <c r="U231" s="574">
        <f t="shared" si="71"/>
        <v>3113.3819628646597</v>
      </c>
      <c r="V231" s="574">
        <f t="shared" si="71"/>
        <v>1981.1802937267348</v>
      </c>
      <c r="W231" s="574">
        <f t="shared" si="71"/>
        <v>524.29759496520273</v>
      </c>
      <c r="X231" s="574">
        <f t="shared" si="71"/>
        <v>524.29759496520273</v>
      </c>
      <c r="Y231" s="574">
        <f t="shared" si="71"/>
        <v>524.29759496508632</v>
      </c>
      <c r="Z231" s="574">
        <f t="shared" si="71"/>
        <v>524.29759496520273</v>
      </c>
      <c r="AA231" s="574">
        <f t="shared" si="71"/>
        <v>524.29759496520273</v>
      </c>
      <c r="AB231" s="574">
        <f t="shared" si="71"/>
        <v>524.29759496508632</v>
      </c>
      <c r="AC231" s="574">
        <f t="shared" si="71"/>
        <v>8433.8511126096128</v>
      </c>
    </row>
    <row r="232" spans="2:39" s="411" customFormat="1" hidden="1">
      <c r="B232" s="411" t="s">
        <v>96</v>
      </c>
      <c r="C232" s="452">
        <f t="shared" ref="C232:AC232" si="72">C231-C160</f>
        <v>0</v>
      </c>
      <c r="D232" s="452">
        <f t="shared" si="72"/>
        <v>-1402.2241887905693</v>
      </c>
      <c r="E232" s="452">
        <f t="shared" si="72"/>
        <v>-2682.8396618970728</v>
      </c>
      <c r="F232" s="452">
        <f t="shared" si="72"/>
        <v>115277.12087986537</v>
      </c>
      <c r="G232" s="452">
        <f t="shared" si="72"/>
        <v>-3593.1339522546041</v>
      </c>
      <c r="H232" s="575">
        <f t="shared" si="72"/>
        <v>-11481.705570291844</v>
      </c>
      <c r="I232" s="575">
        <f t="shared" si="72"/>
        <v>-17077.718170641921</v>
      </c>
      <c r="J232" s="575">
        <f t="shared" si="72"/>
        <v>-15674.829574716161</v>
      </c>
      <c r="K232" s="575">
        <f t="shared" si="72"/>
        <v>-14266.995126479072</v>
      </c>
      <c r="L232" s="575">
        <f t="shared" si="72"/>
        <v>-7018.1441308152862</v>
      </c>
      <c r="M232" s="575">
        <f t="shared" si="72"/>
        <v>-9560.6843501327094</v>
      </c>
      <c r="N232" s="575">
        <f t="shared" si="72"/>
        <v>-3799.3328912466532</v>
      </c>
      <c r="O232" s="575">
        <f t="shared" si="72"/>
        <v>-4891.9475255477009</v>
      </c>
      <c r="P232" s="575">
        <f t="shared" si="72"/>
        <v>-2452.5020765743684</v>
      </c>
      <c r="Q232" s="575">
        <f t="shared" si="72"/>
        <v>-3006.238959282171</v>
      </c>
      <c r="R232" s="575">
        <f t="shared" si="72"/>
        <v>-1012.3379637947073</v>
      </c>
      <c r="S232" s="575">
        <f t="shared" si="72"/>
        <v>-1346.9661530711455</v>
      </c>
      <c r="T232" s="575">
        <f t="shared" si="72"/>
        <v>-5.7195233213715255</v>
      </c>
      <c r="U232" s="575">
        <f t="shared" si="72"/>
        <v>-560.61803713534027</v>
      </c>
      <c r="V232" s="575">
        <f t="shared" si="72"/>
        <v>-589.81970627326518</v>
      </c>
      <c r="W232" s="575">
        <f t="shared" si="72"/>
        <v>-2424.7024050347973</v>
      </c>
      <c r="X232" s="575">
        <f t="shared" si="72"/>
        <v>-2237.7024050347973</v>
      </c>
      <c r="Y232" s="575">
        <f t="shared" si="72"/>
        <v>-2128.7024050349137</v>
      </c>
      <c r="Z232" s="575">
        <f t="shared" si="72"/>
        <v>-1979.7024050347973</v>
      </c>
      <c r="AA232" s="575">
        <f t="shared" si="72"/>
        <v>-1744.7024050347973</v>
      </c>
      <c r="AB232" s="575">
        <f t="shared" si="72"/>
        <v>-1108.7024050349137</v>
      </c>
      <c r="AC232" s="575">
        <f t="shared" si="72"/>
        <v>-3229.1488873903872</v>
      </c>
      <c r="AD232" s="576"/>
      <c r="AE232" s="576"/>
      <c r="AF232" s="576"/>
      <c r="AG232" s="576"/>
      <c r="AH232" s="576"/>
      <c r="AI232" s="576"/>
      <c r="AJ232" s="576"/>
      <c r="AK232" s="576"/>
      <c r="AL232" s="576"/>
      <c r="AM232" s="576"/>
    </row>
    <row r="233" spans="2:39" s="411" customFormat="1" hidden="1">
      <c r="B233" s="411" t="s">
        <v>274</v>
      </c>
      <c r="C233" s="453">
        <f>C231/$AC$230</f>
        <v>7.7546005740378038E-2</v>
      </c>
      <c r="D233" s="453">
        <f t="shared" ref="D233:AC233" si="73">D231/$AC$230</f>
        <v>9.5422824551984933E-2</v>
      </c>
      <c r="E233" s="453">
        <f t="shared" si="73"/>
        <v>0.13435187098853535</v>
      </c>
      <c r="F233" s="453">
        <f t="shared" si="73"/>
        <v>0.27329396228364011</v>
      </c>
      <c r="G233" s="453">
        <f t="shared" si="73"/>
        <v>0.12708871446275105</v>
      </c>
      <c r="H233" s="577">
        <f t="shared" si="73"/>
        <v>8.7135623580330182E-2</v>
      </c>
      <c r="I233" s="577">
        <f t="shared" si="73"/>
        <v>5.8436032532693756E-2</v>
      </c>
      <c r="J233" s="577">
        <f t="shared" si="73"/>
        <v>3.3924188631094337E-2</v>
      </c>
      <c r="K233" s="577">
        <f t="shared" si="73"/>
        <v>2.4452720401850675E-2</v>
      </c>
      <c r="L233" s="577">
        <f t="shared" si="73"/>
        <v>1.7776263929191263E-2</v>
      </c>
      <c r="M233" s="577">
        <f t="shared" si="73"/>
        <v>1.1356179524905965E-2</v>
      </c>
      <c r="N233" s="577">
        <f t="shared" si="73"/>
        <v>9.4084207351817929E-3</v>
      </c>
      <c r="O233" s="577">
        <f t="shared" si="73"/>
        <v>7.5729173481030249E-3</v>
      </c>
      <c r="P233" s="577">
        <f t="shared" si="73"/>
        <v>5.4899137594682478E-3</v>
      </c>
      <c r="Q233" s="577">
        <f t="shared" si="73"/>
        <v>4.9048430427911854E-3</v>
      </c>
      <c r="R233" s="577">
        <f t="shared" si="73"/>
        <v>4.3413338873248847E-3</v>
      </c>
      <c r="S233" s="577">
        <f t="shared" si="73"/>
        <v>4.2307047140383068E-3</v>
      </c>
      <c r="T233" s="577">
        <f t="shared" si="73"/>
        <v>3.9776359830757512E-3</v>
      </c>
      <c r="U233" s="577">
        <f t="shared" si="73"/>
        <v>3.6017713530201302E-3</v>
      </c>
      <c r="V233" s="577">
        <f t="shared" si="73"/>
        <v>2.291963694858457E-3</v>
      </c>
      <c r="W233" s="577">
        <f t="shared" si="73"/>
        <v>6.0654300709877542E-4</v>
      </c>
      <c r="X233" s="577">
        <f t="shared" si="73"/>
        <v>6.0654300709877542E-4</v>
      </c>
      <c r="Y233" s="577">
        <f t="shared" si="73"/>
        <v>6.0654300709864066E-4</v>
      </c>
      <c r="Z233" s="577">
        <f t="shared" si="73"/>
        <v>6.0654300709877542E-4</v>
      </c>
      <c r="AA233" s="577">
        <f t="shared" si="73"/>
        <v>6.0654300709877542E-4</v>
      </c>
      <c r="AB233" s="577">
        <f t="shared" si="73"/>
        <v>6.0654300709864066E-4</v>
      </c>
      <c r="AC233" s="577">
        <f t="shared" si="73"/>
        <v>9.7568508121901616E-3</v>
      </c>
      <c r="AD233" s="576"/>
      <c r="AE233" s="576"/>
      <c r="AF233" s="576"/>
      <c r="AG233" s="576"/>
      <c r="AH233" s="576"/>
      <c r="AI233" s="576"/>
      <c r="AJ233" s="576"/>
      <c r="AK233" s="576"/>
      <c r="AL233" s="576"/>
      <c r="AM233" s="576"/>
    </row>
    <row r="234" spans="2:39" s="411" customFormat="1" hidden="1">
      <c r="C234" s="452"/>
      <c r="D234" s="452"/>
      <c r="E234" s="452"/>
      <c r="F234" s="452"/>
      <c r="G234" s="452"/>
      <c r="H234" s="575"/>
      <c r="I234" s="575"/>
      <c r="J234" s="575"/>
      <c r="K234" s="575"/>
      <c r="L234" s="575"/>
      <c r="M234" s="575"/>
      <c r="N234" s="575"/>
      <c r="O234" s="575"/>
      <c r="P234" s="575"/>
      <c r="Q234" s="575"/>
      <c r="R234" s="575"/>
      <c r="S234" s="575"/>
      <c r="T234" s="575"/>
      <c r="U234" s="575"/>
      <c r="V234" s="575"/>
      <c r="W234" s="575"/>
      <c r="X234" s="575"/>
      <c r="Y234" s="575"/>
      <c r="Z234" s="575"/>
      <c r="AA234" s="575"/>
      <c r="AB234" s="575"/>
      <c r="AC234" s="575"/>
      <c r="AD234" s="576"/>
      <c r="AE234" s="576"/>
      <c r="AF234" s="576"/>
      <c r="AG234" s="576"/>
      <c r="AH234" s="576"/>
      <c r="AI234" s="576"/>
      <c r="AJ234" s="576"/>
      <c r="AK234" s="576"/>
      <c r="AL234" s="576"/>
      <c r="AM234" s="576"/>
    </row>
    <row r="235" spans="2:39" hidden="1">
      <c r="B235" s="436" t="s">
        <v>4</v>
      </c>
      <c r="C235" s="437">
        <v>0</v>
      </c>
      <c r="D235" s="435">
        <v>1000</v>
      </c>
      <c r="E235" s="435">
        <v>2000</v>
      </c>
      <c r="F235" s="435">
        <v>3000</v>
      </c>
      <c r="G235" s="435">
        <v>4000</v>
      </c>
      <c r="H235" s="560">
        <v>5000</v>
      </c>
      <c r="I235" s="560">
        <v>6000</v>
      </c>
      <c r="J235" s="560">
        <v>7000</v>
      </c>
      <c r="K235" s="560">
        <v>8000</v>
      </c>
      <c r="L235" s="560">
        <v>9000</v>
      </c>
      <c r="M235" s="560">
        <v>10000</v>
      </c>
      <c r="N235" s="560">
        <v>11000</v>
      </c>
      <c r="O235" s="560">
        <v>12000</v>
      </c>
      <c r="P235" s="560">
        <v>13000</v>
      </c>
      <c r="Q235" s="560">
        <v>14000</v>
      </c>
      <c r="R235" s="560">
        <v>15000</v>
      </c>
      <c r="S235" s="560">
        <v>16000</v>
      </c>
      <c r="T235" s="560">
        <v>17000</v>
      </c>
      <c r="U235" s="560">
        <v>18000</v>
      </c>
      <c r="V235" s="560">
        <v>19000</v>
      </c>
      <c r="W235" s="560">
        <v>20000</v>
      </c>
      <c r="X235" s="560">
        <v>21000</v>
      </c>
      <c r="Y235" s="560">
        <v>22000</v>
      </c>
      <c r="Z235" s="560">
        <v>23000</v>
      </c>
      <c r="AA235" s="560">
        <v>24000</v>
      </c>
      <c r="AB235" s="560">
        <v>25000</v>
      </c>
      <c r="AC235" s="560" t="s">
        <v>42</v>
      </c>
    </row>
    <row r="236" spans="2:39" ht="28.5" hidden="1">
      <c r="B236" s="454" t="s">
        <v>225</v>
      </c>
      <c r="C236" s="455">
        <f t="array" ref="C236:AB236">TRANSPOSE('Input COMPARATIVE Rates'!F55:F80)</f>
        <v>8</v>
      </c>
      <c r="D236" s="455">
        <v>9.5</v>
      </c>
      <c r="E236" s="455">
        <v>11</v>
      </c>
      <c r="F236" s="455">
        <v>13.5</v>
      </c>
      <c r="G236" s="455">
        <v>16</v>
      </c>
      <c r="H236" s="578">
        <v>18.5</v>
      </c>
      <c r="I236" s="578">
        <v>21</v>
      </c>
      <c r="J236" s="578">
        <v>23.5</v>
      </c>
      <c r="K236" s="578">
        <v>26</v>
      </c>
      <c r="L236" s="578">
        <v>28.5</v>
      </c>
      <c r="M236" s="578">
        <v>31</v>
      </c>
      <c r="N236" s="578">
        <v>33.5</v>
      </c>
      <c r="O236" s="578">
        <v>36</v>
      </c>
      <c r="P236" s="578">
        <v>38.5</v>
      </c>
      <c r="Q236" s="578">
        <v>41</v>
      </c>
      <c r="R236" s="578">
        <v>43.5</v>
      </c>
      <c r="S236" s="578">
        <v>46</v>
      </c>
      <c r="T236" s="578">
        <v>48.5</v>
      </c>
      <c r="U236" s="578">
        <v>51</v>
      </c>
      <c r="V236" s="578">
        <v>53.5</v>
      </c>
      <c r="W236" s="578">
        <v>56</v>
      </c>
      <c r="X236" s="578">
        <v>58.5</v>
      </c>
      <c r="Y236" s="578">
        <v>61</v>
      </c>
      <c r="Z236" s="578">
        <v>63.5</v>
      </c>
      <c r="AA236" s="578">
        <v>66</v>
      </c>
      <c r="AB236" s="578">
        <v>68.5</v>
      </c>
      <c r="AC236" s="578">
        <f>'Input COMPARATIVE Rates'!S54</f>
        <v>57.357500000000002</v>
      </c>
      <c r="AD236" s="466" t="str">
        <f>"&lt;-- at "&amp;AE170&amp;" gallons/month"</f>
        <v>&lt;-- at 20543 gallons/month</v>
      </c>
    </row>
    <row r="237" spans="2:39" s="411" customFormat="1" hidden="1">
      <c r="C237" s="452"/>
      <c r="D237" s="452"/>
      <c r="E237" s="452"/>
      <c r="F237" s="452"/>
      <c r="G237" s="452"/>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6"/>
      <c r="AE237" s="576"/>
      <c r="AF237" s="576"/>
      <c r="AG237" s="576"/>
      <c r="AH237" s="576"/>
      <c r="AI237" s="576"/>
      <c r="AJ237" s="576"/>
      <c r="AK237" s="576"/>
      <c r="AL237" s="576"/>
      <c r="AM237" s="576"/>
    </row>
    <row r="238" spans="2:39" ht="15" hidden="1">
      <c r="B238" s="130"/>
      <c r="C238" s="438"/>
      <c r="D238" s="451"/>
      <c r="E238" s="451"/>
      <c r="F238" s="451"/>
      <c r="G238" s="451"/>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row>
    <row r="239" spans="2:39" hidden="1">
      <c r="B239" s="436" t="s">
        <v>272</v>
      </c>
      <c r="C239" s="146">
        <f>C231*C236</f>
        <v>536248</v>
      </c>
      <c r="D239" s="146">
        <f t="shared" ref="D239:AC239" si="74">D231*D236</f>
        <v>783595.87020648958</v>
      </c>
      <c r="E239" s="146">
        <f t="shared" si="74"/>
        <v>1277475.7637191322</v>
      </c>
      <c r="F239" s="146">
        <f t="shared" si="74"/>
        <v>3189187.6318781823</v>
      </c>
      <c r="G239" s="146">
        <f t="shared" si="74"/>
        <v>1757693.8567639263</v>
      </c>
      <c r="H239" s="579">
        <f t="shared" si="74"/>
        <v>1393425.4469496009</v>
      </c>
      <c r="I239" s="579">
        <f t="shared" si="74"/>
        <v>1060757.9184165196</v>
      </c>
      <c r="J239" s="579">
        <f t="shared" si="74"/>
        <v>689118.00499417027</v>
      </c>
      <c r="K239" s="579">
        <f t="shared" si="74"/>
        <v>549562.12671154412</v>
      </c>
      <c r="L239" s="579">
        <f t="shared" si="74"/>
        <v>437926.89227176434</v>
      </c>
      <c r="M239" s="579">
        <f t="shared" si="74"/>
        <v>304305.78514588601</v>
      </c>
      <c r="N239" s="579">
        <f t="shared" si="74"/>
        <v>272444.34814323712</v>
      </c>
      <c r="O239" s="579">
        <f t="shared" si="74"/>
        <v>235657.88908028277</v>
      </c>
      <c r="P239" s="579">
        <f t="shared" si="74"/>
        <v>182701.67005188682</v>
      </c>
      <c r="Q239" s="579">
        <f t="shared" si="74"/>
        <v>173830.20266943099</v>
      </c>
      <c r="R239" s="579">
        <f t="shared" si="74"/>
        <v>163240.79857493023</v>
      </c>
      <c r="S239" s="579">
        <f t="shared" si="74"/>
        <v>168223.55695872731</v>
      </c>
      <c r="T239" s="579">
        <f t="shared" si="74"/>
        <v>166756.60311891348</v>
      </c>
      <c r="U239" s="579">
        <f t="shared" si="74"/>
        <v>158782.48010609765</v>
      </c>
      <c r="V239" s="579">
        <f t="shared" si="74"/>
        <v>105993.14571438031</v>
      </c>
      <c r="W239" s="579">
        <f t="shared" si="74"/>
        <v>29360.665318051353</v>
      </c>
      <c r="X239" s="579">
        <f t="shared" si="74"/>
        <v>30671.40930546436</v>
      </c>
      <c r="Y239" s="579">
        <f t="shared" si="74"/>
        <v>31982.153292870265</v>
      </c>
      <c r="Z239" s="579">
        <f t="shared" si="74"/>
        <v>33292.897280290374</v>
      </c>
      <c r="AA239" s="579">
        <f t="shared" si="74"/>
        <v>34603.64126770338</v>
      </c>
      <c r="AB239" s="579">
        <f t="shared" si="74"/>
        <v>35914.385255108413</v>
      </c>
      <c r="AC239" s="579">
        <f t="shared" si="74"/>
        <v>483744.61519150587</v>
      </c>
    </row>
    <row r="240" spans="2:39" hidden="1">
      <c r="B240" s="133" t="s">
        <v>341</v>
      </c>
      <c r="C240" s="146">
        <f>$C$236*C231</f>
        <v>536248</v>
      </c>
      <c r="D240" s="146">
        <f t="shared" ref="D240:AC240" si="75">$C$236*D231</f>
        <v>659870.20648967545</v>
      </c>
      <c r="E240" s="146">
        <f t="shared" si="75"/>
        <v>929073.28270482342</v>
      </c>
      <c r="F240" s="146">
        <f t="shared" si="75"/>
        <v>1889888.9670389229</v>
      </c>
      <c r="G240" s="146">
        <f t="shared" si="75"/>
        <v>878846.92838196317</v>
      </c>
      <c r="H240" s="579">
        <f t="shared" si="75"/>
        <v>602562.35543766525</v>
      </c>
      <c r="I240" s="579">
        <f t="shared" si="75"/>
        <v>404098.25463486463</v>
      </c>
      <c r="J240" s="579">
        <f t="shared" si="75"/>
        <v>234593.36340227071</v>
      </c>
      <c r="K240" s="579">
        <f t="shared" si="75"/>
        <v>169096.03898816742</v>
      </c>
      <c r="L240" s="579">
        <f t="shared" si="75"/>
        <v>122926.84695347771</v>
      </c>
      <c r="M240" s="579">
        <f t="shared" si="75"/>
        <v>78530.525198938325</v>
      </c>
      <c r="N240" s="579">
        <f t="shared" si="75"/>
        <v>65061.336870026775</v>
      </c>
      <c r="O240" s="579">
        <f t="shared" si="75"/>
        <v>52368.419795618393</v>
      </c>
      <c r="P240" s="579">
        <f t="shared" si="75"/>
        <v>37963.983387405053</v>
      </c>
      <c r="Q240" s="579">
        <f t="shared" si="75"/>
        <v>33918.088325742632</v>
      </c>
      <c r="R240" s="579">
        <f t="shared" si="75"/>
        <v>30021.296289642341</v>
      </c>
      <c r="S240" s="579">
        <f t="shared" si="75"/>
        <v>29256.270775430836</v>
      </c>
      <c r="T240" s="579">
        <f t="shared" si="75"/>
        <v>27506.243813429028</v>
      </c>
      <c r="U240" s="579">
        <f t="shared" si="75"/>
        <v>24907.055702917278</v>
      </c>
      <c r="V240" s="579">
        <f t="shared" si="75"/>
        <v>15849.442349813879</v>
      </c>
      <c r="W240" s="579">
        <f t="shared" si="75"/>
        <v>4194.3807597216219</v>
      </c>
      <c r="X240" s="579">
        <f t="shared" si="75"/>
        <v>4194.3807597216219</v>
      </c>
      <c r="Y240" s="579">
        <f t="shared" si="75"/>
        <v>4194.3807597206905</v>
      </c>
      <c r="Z240" s="579">
        <f t="shared" si="75"/>
        <v>4194.3807597216219</v>
      </c>
      <c r="AA240" s="579">
        <f t="shared" si="75"/>
        <v>4194.3807597216219</v>
      </c>
      <c r="AB240" s="579">
        <f t="shared" si="75"/>
        <v>4194.3807597206905</v>
      </c>
      <c r="AC240" s="579">
        <f t="shared" si="75"/>
        <v>67470.808900876902</v>
      </c>
    </row>
    <row r="241" spans="2:51" hidden="1">
      <c r="B241" s="129" t="s">
        <v>343</v>
      </c>
      <c r="C241" s="146">
        <f>C239-C240</f>
        <v>0</v>
      </c>
      <c r="D241" s="146">
        <f t="shared" ref="D241:AC241" si="76">D239-D240</f>
        <v>123725.66371681413</v>
      </c>
      <c r="E241" s="146">
        <f t="shared" si="76"/>
        <v>348402.48101430875</v>
      </c>
      <c r="F241" s="146">
        <f t="shared" si="76"/>
        <v>1299298.6648392593</v>
      </c>
      <c r="G241" s="146">
        <f t="shared" si="76"/>
        <v>878846.92838196317</v>
      </c>
      <c r="H241" s="579">
        <f t="shared" si="76"/>
        <v>790863.09151193569</v>
      </c>
      <c r="I241" s="579">
        <f t="shared" si="76"/>
        <v>656659.66378165502</v>
      </c>
      <c r="J241" s="579">
        <f t="shared" si="76"/>
        <v>454524.64159189956</v>
      </c>
      <c r="K241" s="579">
        <f t="shared" si="76"/>
        <v>380466.0877233767</v>
      </c>
      <c r="L241" s="579">
        <f t="shared" si="76"/>
        <v>315000.04531828663</v>
      </c>
      <c r="M241" s="579">
        <f t="shared" si="76"/>
        <v>225775.25994694768</v>
      </c>
      <c r="N241" s="579">
        <f t="shared" si="76"/>
        <v>207383.01127321034</v>
      </c>
      <c r="O241" s="579">
        <f t="shared" si="76"/>
        <v>183289.46928466437</v>
      </c>
      <c r="P241" s="579">
        <f t="shared" si="76"/>
        <v>144737.68666448176</v>
      </c>
      <c r="Q241" s="579">
        <f t="shared" si="76"/>
        <v>139912.11434368836</v>
      </c>
      <c r="R241" s="579">
        <f t="shared" si="76"/>
        <v>133219.50228528789</v>
      </c>
      <c r="S241" s="579">
        <f t="shared" si="76"/>
        <v>138967.28618329647</v>
      </c>
      <c r="T241" s="579">
        <f t="shared" si="76"/>
        <v>139250.35930548445</v>
      </c>
      <c r="U241" s="579">
        <f t="shared" si="76"/>
        <v>133875.42440318037</v>
      </c>
      <c r="V241" s="579">
        <f t="shared" si="76"/>
        <v>90143.703364566434</v>
      </c>
      <c r="W241" s="579">
        <f t="shared" si="76"/>
        <v>25166.284558329731</v>
      </c>
      <c r="X241" s="579">
        <f t="shared" si="76"/>
        <v>26477.028545742738</v>
      </c>
      <c r="Y241" s="579">
        <f t="shared" si="76"/>
        <v>27787.772533149575</v>
      </c>
      <c r="Z241" s="579">
        <f t="shared" si="76"/>
        <v>29098.516520568752</v>
      </c>
      <c r="AA241" s="579">
        <f t="shared" si="76"/>
        <v>30409.260507981759</v>
      </c>
      <c r="AB241" s="579">
        <f t="shared" si="76"/>
        <v>31720.004495387722</v>
      </c>
      <c r="AC241" s="579">
        <f t="shared" si="76"/>
        <v>416273.80629062897</v>
      </c>
    </row>
    <row r="242" spans="2:51" ht="15.75" hidden="1" thickBot="1">
      <c r="B242" s="130"/>
      <c r="C242" s="146"/>
      <c r="D242" s="146"/>
      <c r="E242" s="146"/>
      <c r="F242" s="146"/>
      <c r="G242" s="146"/>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row>
    <row r="243" spans="2:51" ht="15.75" hidden="1" thickBot="1">
      <c r="B243" s="130"/>
      <c r="C243" s="146" t="s">
        <v>201</v>
      </c>
      <c r="D243" s="146"/>
      <c r="E243" s="146"/>
      <c r="F243" s="146" t="s">
        <v>199</v>
      </c>
      <c r="G243" s="146"/>
      <c r="H243" s="466"/>
      <c r="I243" s="580" t="s">
        <v>200</v>
      </c>
      <c r="J243" s="579"/>
      <c r="K243" s="579"/>
      <c r="L243" s="579"/>
      <c r="M243" s="579"/>
      <c r="N243" s="579"/>
      <c r="O243" s="579"/>
      <c r="P243" s="579"/>
      <c r="Q243" s="579"/>
      <c r="R243" s="579"/>
      <c r="S243" s="579"/>
      <c r="T243" s="579"/>
      <c r="U243" s="579"/>
      <c r="V243" s="579"/>
      <c r="W243" s="579"/>
      <c r="X243" s="579"/>
      <c r="Y243" s="579"/>
      <c r="Z243" s="579"/>
      <c r="AA243" s="579"/>
      <c r="AB243" s="579"/>
      <c r="AC243" s="579"/>
    </row>
    <row r="244" spans="2:51" hidden="1">
      <c r="B244" s="436" t="s">
        <v>228</v>
      </c>
      <c r="C244" s="140">
        <f>SUM(C239:AC239)</f>
        <v>14286497.758386096</v>
      </c>
      <c r="D244" s="141"/>
      <c r="E244" s="146"/>
      <c r="F244" s="146">
        <f>'Revenues from REFERENCE Rates'!E40</f>
        <v>15408000</v>
      </c>
      <c r="G244" s="146"/>
      <c r="H244" s="466"/>
      <c r="I244" s="581">
        <f>C244-F244</f>
        <v>-1121502.241613904</v>
      </c>
      <c r="J244" s="579"/>
      <c r="K244" s="579"/>
      <c r="L244" s="579"/>
      <c r="M244" s="579"/>
      <c r="N244" s="579"/>
      <c r="O244" s="579"/>
      <c r="P244" s="579"/>
      <c r="Q244" s="579"/>
      <c r="R244" s="579"/>
      <c r="S244" s="579"/>
      <c r="T244" s="579"/>
      <c r="U244" s="579"/>
      <c r="V244" s="579"/>
      <c r="W244" s="579"/>
      <c r="X244" s="579"/>
      <c r="Y244" s="579"/>
      <c r="Z244" s="579"/>
      <c r="AA244" s="579"/>
      <c r="AB244" s="579"/>
      <c r="AC244" s="579"/>
    </row>
    <row r="245" spans="2:51" ht="15" hidden="1" thickBot="1">
      <c r="B245" s="133" t="s">
        <v>342</v>
      </c>
      <c r="C245" s="142">
        <f>SUM(C240:AC240)</f>
        <v>6915224</v>
      </c>
      <c r="D245" s="143">
        <f>C245/C244</f>
        <v>0.48403913379966068</v>
      </c>
      <c r="E245" s="146"/>
      <c r="F245" s="146">
        <f>'Revenues from REFERENCE Rates'!E41</f>
        <v>4322000</v>
      </c>
      <c r="G245" s="456">
        <f>F245/F244</f>
        <v>0.28050363447559712</v>
      </c>
      <c r="H245" s="466"/>
      <c r="I245" s="582">
        <f>I244/$F$244</f>
        <v>-7.2787009450538939E-2</v>
      </c>
      <c r="J245" s="579"/>
      <c r="K245" s="579"/>
      <c r="L245" s="579"/>
      <c r="M245" s="579"/>
      <c r="N245" s="579"/>
      <c r="O245" s="579"/>
      <c r="P245" s="579"/>
      <c r="Q245" s="579"/>
      <c r="R245" s="579"/>
      <c r="S245" s="579"/>
      <c r="T245" s="579"/>
      <c r="U245" s="579"/>
      <c r="V245" s="579"/>
      <c r="W245" s="579"/>
      <c r="X245" s="579"/>
      <c r="Y245" s="579"/>
      <c r="Z245" s="579"/>
      <c r="AA245" s="579"/>
      <c r="AB245" s="579"/>
      <c r="AC245" s="579"/>
    </row>
    <row r="246" spans="2:51" ht="15" hidden="1" thickBot="1">
      <c r="B246" s="129" t="s">
        <v>276</v>
      </c>
      <c r="C246" s="144">
        <f>SUM(C241:AC241)</f>
        <v>7371273.7583860969</v>
      </c>
      <c r="D246" s="145">
        <f>C246/C244</f>
        <v>0.51596086620033943</v>
      </c>
      <c r="E246" s="146"/>
      <c r="F246" s="146">
        <f>'Revenues from REFERENCE Rates'!E42</f>
        <v>11086000</v>
      </c>
      <c r="G246" s="456">
        <f>F246/F244</f>
        <v>0.71949636552440288</v>
      </c>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row>
    <row r="247" spans="2:51" hidden="1">
      <c r="C247" s="146"/>
      <c r="D247" s="456"/>
      <c r="E247" s="146"/>
      <c r="F247" s="146"/>
      <c r="G247" s="146"/>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row>
    <row r="248" spans="2:51" hidden="1">
      <c r="B248" s="457" t="s">
        <v>229</v>
      </c>
      <c r="C248" s="146"/>
      <c r="D248" s="146"/>
      <c r="E248" s="146"/>
      <c r="F248" s="146"/>
      <c r="G248" s="146"/>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row>
    <row r="249" spans="2:51" hidden="1">
      <c r="B249" s="147" t="s">
        <v>176</v>
      </c>
      <c r="C249" s="147">
        <f>ROUND((SUMPRODUCT(C231:AB231,C228:AB228)+AC231*AE170)/SUM(C231:AC231),0)</f>
        <v>4111</v>
      </c>
      <c r="D249" s="147" t="s">
        <v>177</v>
      </c>
      <c r="E249" s="147"/>
      <c r="F249" s="147"/>
      <c r="J249" s="465"/>
      <c r="K249" s="465"/>
      <c r="M249" s="465"/>
      <c r="N249" s="465"/>
      <c r="P249" s="465"/>
      <c r="Q249" s="465"/>
      <c r="S249" s="465"/>
    </row>
    <row r="250" spans="2:51" hidden="1">
      <c r="B250" s="147"/>
      <c r="C250" s="147"/>
      <c r="D250" s="147"/>
      <c r="E250" s="147"/>
      <c r="F250" s="147"/>
      <c r="J250" s="465"/>
      <c r="K250" s="465"/>
      <c r="M250" s="465"/>
      <c r="N250" s="465"/>
      <c r="P250" s="465"/>
      <c r="Q250" s="465"/>
      <c r="S250" s="465"/>
    </row>
    <row r="251" spans="2:51" s="458" customFormat="1" hidden="1">
      <c r="G251" s="459"/>
      <c r="H251" s="465"/>
      <c r="I251" s="466"/>
      <c r="J251" s="466"/>
      <c r="K251" s="466"/>
      <c r="L251" s="466"/>
      <c r="M251" s="466"/>
      <c r="N251" s="466"/>
      <c r="O251" s="466"/>
      <c r="P251" s="466"/>
      <c r="Q251" s="466"/>
      <c r="R251" s="466"/>
      <c r="S251" s="466"/>
      <c r="T251" s="466"/>
      <c r="U251" s="466"/>
      <c r="V251" s="466"/>
      <c r="W251" s="466"/>
      <c r="X251" s="466"/>
      <c r="Y251" s="466"/>
      <c r="Z251" s="466"/>
      <c r="AA251" s="466"/>
      <c r="AB251" s="466"/>
      <c r="AC251" s="466"/>
      <c r="AD251" s="466"/>
      <c r="AE251" s="466"/>
      <c r="AF251" s="466"/>
      <c r="AG251" s="466"/>
      <c r="AH251" s="466"/>
      <c r="AI251" s="466"/>
      <c r="AJ251" s="466"/>
      <c r="AK251" s="466"/>
      <c r="AL251" s="466"/>
      <c r="AM251" s="466"/>
      <c r="AY251" s="476"/>
    </row>
    <row r="252" spans="2:51" s="458" customFormat="1" hidden="1">
      <c r="G252" s="459"/>
      <c r="H252" s="465"/>
      <c r="I252" s="466"/>
      <c r="J252" s="466"/>
      <c r="K252" s="466"/>
      <c r="L252" s="466"/>
      <c r="M252" s="466"/>
      <c r="N252" s="466"/>
      <c r="O252" s="466"/>
      <c r="P252" s="466"/>
      <c r="Q252" s="466"/>
      <c r="R252" s="466"/>
      <c r="S252" s="466"/>
      <c r="T252" s="466"/>
      <c r="U252" s="466"/>
      <c r="V252" s="466"/>
      <c r="W252" s="466"/>
      <c r="X252" s="466"/>
      <c r="Y252" s="466"/>
      <c r="Z252" s="466"/>
      <c r="AA252" s="466"/>
      <c r="AB252" s="466"/>
      <c r="AC252" s="466"/>
      <c r="AD252" s="466"/>
      <c r="AE252" s="466"/>
      <c r="AF252" s="466"/>
      <c r="AG252" s="466"/>
      <c r="AH252" s="466"/>
      <c r="AI252" s="466"/>
      <c r="AJ252" s="466"/>
      <c r="AK252" s="466"/>
      <c r="AL252" s="466"/>
      <c r="AM252" s="466"/>
      <c r="AY252" s="476"/>
    </row>
    <row r="253" spans="2:51" s="458" customFormat="1" ht="15" hidden="1">
      <c r="B253" s="440" t="s">
        <v>273</v>
      </c>
      <c r="C253" s="129"/>
      <c r="D253" s="129"/>
      <c r="E253" s="129"/>
      <c r="F253" s="129"/>
      <c r="G253" s="137"/>
      <c r="H253" s="465"/>
      <c r="I253" s="466"/>
      <c r="J253" s="466"/>
      <c r="K253" s="466"/>
      <c r="L253" s="466"/>
      <c r="M253" s="466"/>
      <c r="N253" s="466"/>
      <c r="O253" s="466"/>
      <c r="P253" s="466"/>
      <c r="Q253" s="466"/>
      <c r="R253" s="466"/>
      <c r="S253" s="466"/>
      <c r="T253" s="466"/>
      <c r="U253" s="466"/>
      <c r="V253" s="466"/>
      <c r="W253" s="466"/>
      <c r="X253" s="466"/>
      <c r="Y253" s="466"/>
      <c r="Z253" s="466"/>
      <c r="AA253" s="466"/>
      <c r="AB253" s="466"/>
      <c r="AC253" s="466"/>
      <c r="AD253" s="466"/>
      <c r="AE253" s="466"/>
      <c r="AF253" s="466"/>
      <c r="AG253" s="466"/>
      <c r="AH253" s="466"/>
      <c r="AI253" s="466"/>
      <c r="AJ253" s="466"/>
      <c r="AK253" s="466"/>
      <c r="AL253" s="466"/>
      <c r="AM253" s="466"/>
      <c r="AY253" s="476"/>
    </row>
    <row r="254" spans="2:51" s="458" customFormat="1" ht="15" hidden="1">
      <c r="B254" s="130" t="s">
        <v>69</v>
      </c>
      <c r="C254" s="147"/>
      <c r="D254" s="147"/>
      <c r="E254" s="147"/>
      <c r="F254" s="147"/>
      <c r="G254" s="147"/>
      <c r="H254" s="479"/>
      <c r="I254" s="479"/>
      <c r="J254" s="479"/>
      <c r="K254" s="479"/>
      <c r="L254" s="479"/>
      <c r="M254" s="479"/>
      <c r="N254" s="479"/>
      <c r="O254" s="479"/>
      <c r="P254" s="479"/>
      <c r="Q254" s="479"/>
      <c r="R254" s="479"/>
      <c r="S254" s="479"/>
      <c r="T254" s="479"/>
      <c r="U254" s="479"/>
      <c r="V254" s="479"/>
      <c r="W254" s="479"/>
      <c r="X254" s="479"/>
      <c r="Y254" s="479"/>
      <c r="Z254" s="479"/>
      <c r="AA254" s="479"/>
      <c r="AB254" s="479"/>
      <c r="AC254" s="479"/>
      <c r="AD254" s="466"/>
      <c r="AE254" s="466"/>
      <c r="AF254" s="466"/>
      <c r="AG254" s="466"/>
      <c r="AH254" s="466"/>
      <c r="AI254" s="466"/>
      <c r="AJ254" s="466"/>
      <c r="AK254" s="466"/>
      <c r="AL254" s="466"/>
      <c r="AM254" s="466"/>
      <c r="AY254" s="476"/>
    </row>
    <row r="255" spans="2:51" s="458" customFormat="1" ht="15" hidden="1">
      <c r="B255" s="130" t="s">
        <v>84</v>
      </c>
      <c r="C255" s="147">
        <v>0</v>
      </c>
      <c r="D255" s="147">
        <v>1</v>
      </c>
      <c r="E255" s="147">
        <v>2</v>
      </c>
      <c r="F255" s="147">
        <v>3</v>
      </c>
      <c r="G255" s="147">
        <v>4</v>
      </c>
      <c r="H255" s="479">
        <v>5</v>
      </c>
      <c r="I255" s="479">
        <v>6</v>
      </c>
      <c r="J255" s="479">
        <v>7</v>
      </c>
      <c r="K255" s="479">
        <v>8</v>
      </c>
      <c r="L255" s="479">
        <v>9</v>
      </c>
      <c r="M255" s="479">
        <v>10</v>
      </c>
      <c r="N255" s="479">
        <v>11</v>
      </c>
      <c r="O255" s="479">
        <v>12</v>
      </c>
      <c r="P255" s="479">
        <v>13</v>
      </c>
      <c r="Q255" s="479">
        <v>14</v>
      </c>
      <c r="R255" s="479">
        <v>15</v>
      </c>
      <c r="S255" s="479">
        <v>16</v>
      </c>
      <c r="T255" s="479">
        <v>17</v>
      </c>
      <c r="U255" s="479">
        <v>18</v>
      </c>
      <c r="V255" s="479">
        <v>19</v>
      </c>
      <c r="W255" s="479">
        <v>20</v>
      </c>
      <c r="X255" s="479">
        <v>21</v>
      </c>
      <c r="Y255" s="479">
        <v>22</v>
      </c>
      <c r="Z255" s="479">
        <v>23</v>
      </c>
      <c r="AA255" s="479">
        <v>24</v>
      </c>
      <c r="AB255" s="479">
        <v>25</v>
      </c>
      <c r="AC255" s="479">
        <v>26</v>
      </c>
      <c r="AD255" s="466"/>
      <c r="AE255" s="466"/>
      <c r="AF255" s="466"/>
      <c r="AG255" s="466"/>
      <c r="AH255" s="466"/>
      <c r="AI255" s="466"/>
      <c r="AJ255" s="466"/>
      <c r="AK255" s="466"/>
      <c r="AL255" s="466"/>
      <c r="AM255" s="466"/>
      <c r="AY255" s="476"/>
    </row>
    <row r="256" spans="2:51" s="458" customFormat="1" ht="15" hidden="1">
      <c r="B256" s="130" t="s">
        <v>62</v>
      </c>
      <c r="C256" s="147">
        <f>C258</f>
        <v>0</v>
      </c>
      <c r="D256" s="147">
        <f>C258+1</f>
        <v>1</v>
      </c>
      <c r="E256" s="147">
        <f>D258+1</f>
        <v>984</v>
      </c>
      <c r="F256" s="147">
        <f t="shared" ref="F256:AC256" si="77">E258+1</f>
        <v>1966</v>
      </c>
      <c r="G256" s="147">
        <f t="shared" si="77"/>
        <v>3740</v>
      </c>
      <c r="H256" s="479">
        <f t="shared" si="77"/>
        <v>4986</v>
      </c>
      <c r="I256" s="479">
        <f t="shared" si="77"/>
        <v>6233</v>
      </c>
      <c r="J256" s="479">
        <f t="shared" si="77"/>
        <v>7479</v>
      </c>
      <c r="K256" s="479">
        <f t="shared" si="77"/>
        <v>8725</v>
      </c>
      <c r="L256" s="479">
        <f t="shared" si="77"/>
        <v>9972</v>
      </c>
      <c r="M256" s="479">
        <f t="shared" si="77"/>
        <v>11218</v>
      </c>
      <c r="N256" s="479">
        <f t="shared" si="77"/>
        <v>12465</v>
      </c>
      <c r="O256" s="479">
        <f t="shared" si="77"/>
        <v>13711</v>
      </c>
      <c r="P256" s="479">
        <f t="shared" si="77"/>
        <v>14957</v>
      </c>
      <c r="Q256" s="479">
        <f t="shared" si="77"/>
        <v>16204</v>
      </c>
      <c r="R256" s="479">
        <f t="shared" si="77"/>
        <v>17450</v>
      </c>
      <c r="S256" s="479">
        <f t="shared" si="77"/>
        <v>18696</v>
      </c>
      <c r="T256" s="479">
        <f t="shared" si="77"/>
        <v>19943</v>
      </c>
      <c r="U256" s="479">
        <f t="shared" si="77"/>
        <v>21189</v>
      </c>
      <c r="V256" s="479">
        <f t="shared" si="77"/>
        <v>22435</v>
      </c>
      <c r="W256" s="479">
        <f t="shared" si="77"/>
        <v>23682</v>
      </c>
      <c r="X256" s="479">
        <f t="shared" si="77"/>
        <v>24928</v>
      </c>
      <c r="Y256" s="479">
        <f t="shared" si="77"/>
        <v>26174</v>
      </c>
      <c r="Z256" s="479">
        <f t="shared" si="77"/>
        <v>27421</v>
      </c>
      <c r="AA256" s="479">
        <f t="shared" si="77"/>
        <v>28667</v>
      </c>
      <c r="AB256" s="479">
        <f t="shared" si="77"/>
        <v>29913</v>
      </c>
      <c r="AC256" s="479">
        <f t="shared" si="77"/>
        <v>31160</v>
      </c>
      <c r="AD256" s="466"/>
      <c r="AE256" s="466"/>
      <c r="AF256" s="466"/>
      <c r="AG256" s="466"/>
      <c r="AH256" s="466"/>
      <c r="AI256" s="466"/>
      <c r="AJ256" s="466"/>
      <c r="AK256" s="466"/>
      <c r="AL256" s="466"/>
      <c r="AM256" s="466"/>
      <c r="AY256" s="476"/>
    </row>
    <row r="257" spans="2:51" s="458" customFormat="1" ht="15" hidden="1">
      <c r="B257" s="130" t="s">
        <v>59</v>
      </c>
      <c r="C257" s="147" t="s">
        <v>59</v>
      </c>
      <c r="D257" s="147" t="s">
        <v>59</v>
      </c>
      <c r="E257" s="147" t="s">
        <v>59</v>
      </c>
      <c r="F257" s="147" t="s">
        <v>59</v>
      </c>
      <c r="G257" s="147" t="s">
        <v>59</v>
      </c>
      <c r="H257" s="479" t="s">
        <v>59</v>
      </c>
      <c r="I257" s="479" t="s">
        <v>59</v>
      </c>
      <c r="J257" s="479" t="s">
        <v>59</v>
      </c>
      <c r="K257" s="479" t="s">
        <v>59</v>
      </c>
      <c r="L257" s="479" t="s">
        <v>59</v>
      </c>
      <c r="M257" s="479" t="s">
        <v>59</v>
      </c>
      <c r="N257" s="479" t="s">
        <v>59</v>
      </c>
      <c r="O257" s="479" t="s">
        <v>59</v>
      </c>
      <c r="P257" s="479" t="s">
        <v>59</v>
      </c>
      <c r="Q257" s="479" t="s">
        <v>59</v>
      </c>
      <c r="R257" s="479" t="s">
        <v>59</v>
      </c>
      <c r="S257" s="479" t="s">
        <v>59</v>
      </c>
      <c r="T257" s="479" t="s">
        <v>59</v>
      </c>
      <c r="U257" s="479" t="s">
        <v>59</v>
      </c>
      <c r="V257" s="479" t="s">
        <v>59</v>
      </c>
      <c r="W257" s="479" t="s">
        <v>59</v>
      </c>
      <c r="X257" s="479" t="s">
        <v>59</v>
      </c>
      <c r="Y257" s="479" t="s">
        <v>59</v>
      </c>
      <c r="Z257" s="479" t="s">
        <v>59</v>
      </c>
      <c r="AA257" s="479" t="s">
        <v>59</v>
      </c>
      <c r="AB257" s="479" t="s">
        <v>59</v>
      </c>
      <c r="AC257" s="479" t="s">
        <v>59</v>
      </c>
      <c r="AD257" s="466"/>
      <c r="AE257" s="479" t="s">
        <v>268</v>
      </c>
      <c r="AF257" s="466"/>
      <c r="AG257" s="466"/>
      <c r="AH257" s="466"/>
      <c r="AI257" s="466"/>
      <c r="AJ257" s="466"/>
      <c r="AK257" s="466"/>
      <c r="AL257" s="466"/>
      <c r="AM257" s="466"/>
      <c r="AY257" s="476"/>
    </row>
    <row r="258" spans="2:51" s="458" customFormat="1" ht="15" hidden="1">
      <c r="B258" s="130" t="s">
        <v>49</v>
      </c>
      <c r="C258" s="437">
        <f t="shared" ref="C258:AB258" si="78">ROUND(C$159*(1+C154),0)</f>
        <v>0</v>
      </c>
      <c r="D258" s="437">
        <f t="shared" si="78"/>
        <v>983</v>
      </c>
      <c r="E258" s="437">
        <f t="shared" si="78"/>
        <v>1965</v>
      </c>
      <c r="F258" s="437">
        <f t="shared" si="78"/>
        <v>3739</v>
      </c>
      <c r="G258" s="437">
        <f t="shared" si="78"/>
        <v>4985</v>
      </c>
      <c r="H258" s="562">
        <f t="shared" si="78"/>
        <v>6232</v>
      </c>
      <c r="I258" s="562">
        <f t="shared" si="78"/>
        <v>7478</v>
      </c>
      <c r="J258" s="562">
        <f t="shared" si="78"/>
        <v>8724</v>
      </c>
      <c r="K258" s="562">
        <f t="shared" si="78"/>
        <v>9971</v>
      </c>
      <c r="L258" s="562">
        <f t="shared" si="78"/>
        <v>11217</v>
      </c>
      <c r="M258" s="562">
        <f t="shared" si="78"/>
        <v>12464</v>
      </c>
      <c r="N258" s="562">
        <f t="shared" si="78"/>
        <v>13710</v>
      </c>
      <c r="O258" s="562">
        <f t="shared" si="78"/>
        <v>14956</v>
      </c>
      <c r="P258" s="562">
        <f t="shared" si="78"/>
        <v>16203</v>
      </c>
      <c r="Q258" s="562">
        <f t="shared" si="78"/>
        <v>17449</v>
      </c>
      <c r="R258" s="562">
        <f t="shared" si="78"/>
        <v>18695</v>
      </c>
      <c r="S258" s="562">
        <f t="shared" si="78"/>
        <v>19942</v>
      </c>
      <c r="T258" s="562">
        <f t="shared" si="78"/>
        <v>21188</v>
      </c>
      <c r="U258" s="562">
        <f t="shared" si="78"/>
        <v>22434</v>
      </c>
      <c r="V258" s="562">
        <f t="shared" si="78"/>
        <v>23681</v>
      </c>
      <c r="W258" s="562">
        <f t="shared" si="78"/>
        <v>24927</v>
      </c>
      <c r="X258" s="562">
        <f t="shared" si="78"/>
        <v>26173</v>
      </c>
      <c r="Y258" s="562">
        <f t="shared" si="78"/>
        <v>27420</v>
      </c>
      <c r="Z258" s="562">
        <f t="shared" si="78"/>
        <v>28666</v>
      </c>
      <c r="AA258" s="562">
        <f t="shared" si="78"/>
        <v>29912</v>
      </c>
      <c r="AB258" s="562">
        <f t="shared" si="78"/>
        <v>31159</v>
      </c>
      <c r="AC258" s="562">
        <f>AE258*2</f>
        <v>67946</v>
      </c>
      <c r="AD258" s="466"/>
      <c r="AE258" s="562">
        <f>ROUND(AE$159*(1+AC154),0)</f>
        <v>33973</v>
      </c>
      <c r="AF258" s="466"/>
      <c r="AG258" s="466"/>
      <c r="AH258" s="466"/>
      <c r="AI258" s="466"/>
      <c r="AJ258" s="466"/>
      <c r="AK258" s="466"/>
      <c r="AL258" s="466"/>
      <c r="AM258" s="466"/>
      <c r="AY258" s="476"/>
    </row>
    <row r="259" spans="2:51" s="458" customFormat="1" ht="15" hidden="1">
      <c r="B259" s="130" t="s">
        <v>50</v>
      </c>
      <c r="C259" s="150" t="s">
        <v>0</v>
      </c>
      <c r="D259" s="441">
        <f t="shared" ref="D259:AC259" si="79">D160/(D258-(D256-1))</f>
        <v>85.336724313326556</v>
      </c>
      <c r="E259" s="441">
        <f t="shared" si="79"/>
        <v>120.99490835030549</v>
      </c>
      <c r="F259" s="441">
        <f t="shared" si="79"/>
        <v>68.18432919954904</v>
      </c>
      <c r="G259" s="441">
        <f t="shared" si="79"/>
        <v>91.050561797752806</v>
      </c>
      <c r="H259" s="563">
        <f t="shared" si="79"/>
        <v>69.60866078588613</v>
      </c>
      <c r="I259" s="563">
        <f t="shared" si="79"/>
        <v>54.24558587479936</v>
      </c>
      <c r="J259" s="563">
        <f t="shared" si="79"/>
        <v>36.114767255216691</v>
      </c>
      <c r="K259" s="563">
        <f t="shared" si="79"/>
        <v>28.391339214113874</v>
      </c>
      <c r="L259" s="563">
        <f t="shared" si="79"/>
        <v>17.964686998394864</v>
      </c>
      <c r="M259" s="563">
        <f t="shared" si="79"/>
        <v>15.538893344025661</v>
      </c>
      <c r="N259" s="563">
        <f t="shared" si="79"/>
        <v>9.5762439807383632</v>
      </c>
      <c r="O259" s="563">
        <f t="shared" si="79"/>
        <v>9.1797752808988768</v>
      </c>
      <c r="P259" s="563">
        <f t="shared" si="79"/>
        <v>5.7722534081796315</v>
      </c>
      <c r="Q259" s="563">
        <f t="shared" si="79"/>
        <v>5.815409309791332</v>
      </c>
      <c r="R259" s="563">
        <f t="shared" si="79"/>
        <v>3.8242375601926164</v>
      </c>
      <c r="S259" s="563">
        <f t="shared" si="79"/>
        <v>4.0128307939053727</v>
      </c>
      <c r="T259" s="563">
        <f t="shared" si="79"/>
        <v>2.7640449438202248</v>
      </c>
      <c r="U259" s="563">
        <f t="shared" si="79"/>
        <v>2.9486356340288924</v>
      </c>
      <c r="V259" s="563">
        <f t="shared" si="79"/>
        <v>2.0617481956696069</v>
      </c>
      <c r="W259" s="563">
        <f t="shared" si="79"/>
        <v>2.36677367576244</v>
      </c>
      <c r="X259" s="563">
        <f t="shared" si="79"/>
        <v>2.21669341894061</v>
      </c>
      <c r="Y259" s="563">
        <f t="shared" si="79"/>
        <v>2.1275060144346432</v>
      </c>
      <c r="Z259" s="563">
        <f t="shared" si="79"/>
        <v>2.0096308186195828</v>
      </c>
      <c r="AA259" s="563">
        <f t="shared" si="79"/>
        <v>1.8210272873194222</v>
      </c>
      <c r="AB259" s="563">
        <f t="shared" si="79"/>
        <v>1.3095429029671211</v>
      </c>
      <c r="AC259" s="563">
        <f t="shared" si="79"/>
        <v>0.31704134612770818</v>
      </c>
      <c r="AD259" s="564"/>
      <c r="AE259" s="564"/>
      <c r="AF259" s="564"/>
      <c r="AG259" s="466"/>
      <c r="AH259" s="466"/>
      <c r="AI259" s="466"/>
      <c r="AJ259" s="466"/>
      <c r="AK259" s="466"/>
      <c r="AL259" s="466"/>
      <c r="AM259" s="466"/>
      <c r="AY259" s="476"/>
    </row>
    <row r="260" spans="2:51" s="458" customFormat="1" ht="15" hidden="1">
      <c r="B260" s="130" t="str">
        <f>B258</f>
        <v>New max quantity for those customers</v>
      </c>
      <c r="C260" s="437">
        <f>C258</f>
        <v>0</v>
      </c>
      <c r="D260" s="437">
        <f t="shared" ref="D260:AC260" si="80">D258</f>
        <v>983</v>
      </c>
      <c r="E260" s="437">
        <f t="shared" si="80"/>
        <v>1965</v>
      </c>
      <c r="F260" s="437">
        <f t="shared" si="80"/>
        <v>3739</v>
      </c>
      <c r="G260" s="437">
        <f t="shared" si="80"/>
        <v>4985</v>
      </c>
      <c r="H260" s="562">
        <f t="shared" si="80"/>
        <v>6232</v>
      </c>
      <c r="I260" s="562">
        <f t="shared" si="80"/>
        <v>7478</v>
      </c>
      <c r="J260" s="562">
        <f t="shared" si="80"/>
        <v>8724</v>
      </c>
      <c r="K260" s="562">
        <f t="shared" si="80"/>
        <v>9971</v>
      </c>
      <c r="L260" s="562">
        <f t="shared" si="80"/>
        <v>11217</v>
      </c>
      <c r="M260" s="562">
        <f t="shared" si="80"/>
        <v>12464</v>
      </c>
      <c r="N260" s="562">
        <f t="shared" si="80"/>
        <v>13710</v>
      </c>
      <c r="O260" s="562">
        <f t="shared" si="80"/>
        <v>14956</v>
      </c>
      <c r="P260" s="562">
        <f t="shared" si="80"/>
        <v>16203</v>
      </c>
      <c r="Q260" s="562">
        <f t="shared" si="80"/>
        <v>17449</v>
      </c>
      <c r="R260" s="562">
        <f t="shared" si="80"/>
        <v>18695</v>
      </c>
      <c r="S260" s="562">
        <f t="shared" si="80"/>
        <v>19942</v>
      </c>
      <c r="T260" s="562">
        <f t="shared" si="80"/>
        <v>21188</v>
      </c>
      <c r="U260" s="562">
        <f t="shared" si="80"/>
        <v>22434</v>
      </c>
      <c r="V260" s="562">
        <f t="shared" si="80"/>
        <v>23681</v>
      </c>
      <c r="W260" s="562">
        <f t="shared" si="80"/>
        <v>24927</v>
      </c>
      <c r="X260" s="562">
        <f t="shared" si="80"/>
        <v>26173</v>
      </c>
      <c r="Y260" s="562">
        <f t="shared" si="80"/>
        <v>27420</v>
      </c>
      <c r="Z260" s="562">
        <f t="shared" si="80"/>
        <v>28666</v>
      </c>
      <c r="AA260" s="562">
        <f t="shared" si="80"/>
        <v>29912</v>
      </c>
      <c r="AB260" s="562">
        <f t="shared" si="80"/>
        <v>31159</v>
      </c>
      <c r="AC260" s="562">
        <f t="shared" si="80"/>
        <v>67946</v>
      </c>
      <c r="AD260" s="466"/>
      <c r="AE260" s="466"/>
      <c r="AF260" s="466"/>
      <c r="AG260" s="466"/>
      <c r="AH260" s="466"/>
      <c r="AI260" s="466"/>
      <c r="AJ260" s="466"/>
      <c r="AK260" s="466"/>
      <c r="AL260" s="466"/>
      <c r="AM260" s="466"/>
      <c r="AY260" s="476"/>
    </row>
    <row r="261" spans="2:51" s="458" customFormat="1" ht="15" hidden="1">
      <c r="B261" s="130" t="s">
        <v>55</v>
      </c>
      <c r="C261" s="438">
        <f t="shared" ref="C261:AC262" si="81">C160</f>
        <v>67031</v>
      </c>
      <c r="D261" s="438">
        <f t="shared" si="81"/>
        <v>83886</v>
      </c>
      <c r="E261" s="438">
        <f t="shared" si="81"/>
        <v>118817</v>
      </c>
      <c r="F261" s="438">
        <f t="shared" si="81"/>
        <v>120959</v>
      </c>
      <c r="G261" s="438">
        <f t="shared" si="81"/>
        <v>113449</v>
      </c>
      <c r="H261" s="561">
        <f t="shared" si="81"/>
        <v>86802</v>
      </c>
      <c r="I261" s="561">
        <f t="shared" si="81"/>
        <v>67590</v>
      </c>
      <c r="J261" s="561">
        <f t="shared" si="81"/>
        <v>44999</v>
      </c>
      <c r="K261" s="561">
        <f t="shared" si="81"/>
        <v>35404</v>
      </c>
      <c r="L261" s="561">
        <f t="shared" si="81"/>
        <v>22384</v>
      </c>
      <c r="M261" s="561">
        <f t="shared" si="81"/>
        <v>19377</v>
      </c>
      <c r="N261" s="561">
        <f t="shared" si="81"/>
        <v>11932</v>
      </c>
      <c r="O261" s="561">
        <f t="shared" si="81"/>
        <v>11438</v>
      </c>
      <c r="P261" s="561">
        <f t="shared" si="81"/>
        <v>7198</v>
      </c>
      <c r="Q261" s="561">
        <f t="shared" si="81"/>
        <v>7246</v>
      </c>
      <c r="R261" s="561">
        <f t="shared" si="81"/>
        <v>4765</v>
      </c>
      <c r="S261" s="561">
        <f t="shared" si="81"/>
        <v>5004</v>
      </c>
      <c r="T261" s="561">
        <f t="shared" si="81"/>
        <v>3444</v>
      </c>
      <c r="U261" s="561">
        <f t="shared" si="81"/>
        <v>3674</v>
      </c>
      <c r="V261" s="561">
        <f t="shared" si="81"/>
        <v>2571</v>
      </c>
      <c r="W261" s="561">
        <f t="shared" si="81"/>
        <v>2949</v>
      </c>
      <c r="X261" s="561">
        <f t="shared" si="81"/>
        <v>2762</v>
      </c>
      <c r="Y261" s="561">
        <f t="shared" si="81"/>
        <v>2653</v>
      </c>
      <c r="Z261" s="561">
        <f t="shared" si="81"/>
        <v>2504</v>
      </c>
      <c r="AA261" s="561">
        <f t="shared" si="81"/>
        <v>2269</v>
      </c>
      <c r="AB261" s="561">
        <f t="shared" si="81"/>
        <v>1633</v>
      </c>
      <c r="AC261" s="561">
        <f t="shared" si="81"/>
        <v>11663</v>
      </c>
      <c r="AD261" s="466"/>
      <c r="AE261" s="466"/>
      <c r="AF261" s="466"/>
      <c r="AG261" s="466"/>
      <c r="AH261" s="466"/>
      <c r="AI261" s="466"/>
      <c r="AJ261" s="466"/>
      <c r="AK261" s="466"/>
      <c r="AL261" s="466"/>
      <c r="AM261" s="466"/>
      <c r="AY261" s="476"/>
    </row>
    <row r="262" spans="2:51" s="458" customFormat="1" ht="15" hidden="1">
      <c r="B262" s="130" t="s">
        <v>56</v>
      </c>
      <c r="C262" s="460">
        <f t="shared" si="81"/>
        <v>67031</v>
      </c>
      <c r="D262" s="460">
        <f t="shared" si="81"/>
        <v>150917</v>
      </c>
      <c r="E262" s="460">
        <f t="shared" si="81"/>
        <v>269734</v>
      </c>
      <c r="F262" s="460">
        <f t="shared" si="81"/>
        <v>390693</v>
      </c>
      <c r="G262" s="460">
        <f t="shared" si="81"/>
        <v>504142</v>
      </c>
      <c r="H262" s="583">
        <f t="shared" si="81"/>
        <v>590944</v>
      </c>
      <c r="I262" s="583">
        <f t="shared" si="81"/>
        <v>658534</v>
      </c>
      <c r="J262" s="583">
        <f t="shared" si="81"/>
        <v>703533</v>
      </c>
      <c r="K262" s="583">
        <f t="shared" si="81"/>
        <v>738937</v>
      </c>
      <c r="L262" s="583">
        <f t="shared" si="81"/>
        <v>761321</v>
      </c>
      <c r="M262" s="583">
        <f t="shared" si="81"/>
        <v>780698</v>
      </c>
      <c r="N262" s="583">
        <f t="shared" si="81"/>
        <v>792630</v>
      </c>
      <c r="O262" s="583">
        <f t="shared" si="81"/>
        <v>804068</v>
      </c>
      <c r="P262" s="583">
        <f t="shared" si="81"/>
        <v>811266</v>
      </c>
      <c r="Q262" s="583">
        <f t="shared" si="81"/>
        <v>818512</v>
      </c>
      <c r="R262" s="583">
        <f t="shared" si="81"/>
        <v>823277</v>
      </c>
      <c r="S262" s="583">
        <f t="shared" si="81"/>
        <v>828281</v>
      </c>
      <c r="T262" s="583">
        <f t="shared" si="81"/>
        <v>831725</v>
      </c>
      <c r="U262" s="583">
        <f t="shared" si="81"/>
        <v>835399</v>
      </c>
      <c r="V262" s="583">
        <f t="shared" si="81"/>
        <v>837970</v>
      </c>
      <c r="W262" s="583">
        <f t="shared" si="81"/>
        <v>840919</v>
      </c>
      <c r="X262" s="583">
        <f t="shared" si="81"/>
        <v>843681</v>
      </c>
      <c r="Y262" s="583">
        <f t="shared" si="81"/>
        <v>846334</v>
      </c>
      <c r="Z262" s="583">
        <f t="shared" si="81"/>
        <v>848838</v>
      </c>
      <c r="AA262" s="583">
        <f t="shared" si="81"/>
        <v>851107</v>
      </c>
      <c r="AB262" s="583">
        <f t="shared" si="81"/>
        <v>852740</v>
      </c>
      <c r="AC262" s="583">
        <f t="shared" si="81"/>
        <v>864403</v>
      </c>
      <c r="AD262" s="466"/>
      <c r="AE262" s="466"/>
      <c r="AF262" s="466"/>
      <c r="AG262" s="466"/>
      <c r="AH262" s="466"/>
      <c r="AI262" s="466"/>
      <c r="AJ262" s="466"/>
      <c r="AK262" s="466"/>
      <c r="AL262" s="466"/>
      <c r="AM262" s="466"/>
      <c r="AY262" s="476"/>
    </row>
    <row r="263" spans="2:51" s="458" customFormat="1" ht="15" hidden="1">
      <c r="B263" s="130"/>
      <c r="C263" s="437"/>
      <c r="D263" s="437"/>
      <c r="E263" s="437"/>
      <c r="F263" s="437"/>
      <c r="G263" s="437"/>
      <c r="H263" s="562"/>
      <c r="I263" s="562"/>
      <c r="J263" s="562"/>
      <c r="K263" s="562"/>
      <c r="L263" s="562"/>
      <c r="M263" s="562"/>
      <c r="N263" s="562"/>
      <c r="O263" s="562"/>
      <c r="P263" s="562"/>
      <c r="Q263" s="562"/>
      <c r="R263" s="562"/>
      <c r="S263" s="562"/>
      <c r="T263" s="562"/>
      <c r="U263" s="562"/>
      <c r="V263" s="562"/>
      <c r="W263" s="562"/>
      <c r="X263" s="562"/>
      <c r="Y263" s="562"/>
      <c r="Z263" s="562"/>
      <c r="AA263" s="562"/>
      <c r="AB263" s="562"/>
      <c r="AC263" s="562"/>
      <c r="AD263" s="466"/>
      <c r="AE263" s="466"/>
      <c r="AF263" s="466"/>
      <c r="AG263" s="466"/>
      <c r="AH263" s="466"/>
      <c r="AI263" s="466"/>
      <c r="AJ263" s="466"/>
      <c r="AK263" s="466"/>
      <c r="AL263" s="466"/>
      <c r="AM263" s="466"/>
      <c r="AY263" s="476"/>
    </row>
    <row r="264" spans="2:51" s="458" customFormat="1" ht="15" hidden="1">
      <c r="B264" s="130" t="s">
        <v>53</v>
      </c>
      <c r="C264" s="437">
        <v>0</v>
      </c>
      <c r="D264" s="435">
        <v>1000</v>
      </c>
      <c r="E264" s="435">
        <v>2000</v>
      </c>
      <c r="F264" s="435">
        <v>3000</v>
      </c>
      <c r="G264" s="435">
        <v>4000</v>
      </c>
      <c r="H264" s="560">
        <v>5000</v>
      </c>
      <c r="I264" s="560">
        <v>6000</v>
      </c>
      <c r="J264" s="560">
        <v>7000</v>
      </c>
      <c r="K264" s="560">
        <v>8000</v>
      </c>
      <c r="L264" s="560">
        <v>9000</v>
      </c>
      <c r="M264" s="560">
        <v>10000</v>
      </c>
      <c r="N264" s="560">
        <v>11000</v>
      </c>
      <c r="O264" s="560">
        <v>12000</v>
      </c>
      <c r="P264" s="560">
        <v>13000</v>
      </c>
      <c r="Q264" s="560">
        <v>14000</v>
      </c>
      <c r="R264" s="560">
        <v>15000</v>
      </c>
      <c r="S264" s="560">
        <v>16000</v>
      </c>
      <c r="T264" s="560">
        <v>17000</v>
      </c>
      <c r="U264" s="560">
        <v>18000</v>
      </c>
      <c r="V264" s="560">
        <v>19000</v>
      </c>
      <c r="W264" s="560">
        <v>20000</v>
      </c>
      <c r="X264" s="560">
        <v>21000</v>
      </c>
      <c r="Y264" s="560">
        <v>22000</v>
      </c>
      <c r="Z264" s="560">
        <v>23000</v>
      </c>
      <c r="AA264" s="560">
        <v>24000</v>
      </c>
      <c r="AB264" s="560">
        <v>25000</v>
      </c>
      <c r="AC264" s="560">
        <f>AC258</f>
        <v>67946</v>
      </c>
      <c r="AD264" s="466"/>
      <c r="AE264" s="466"/>
      <c r="AF264" s="466"/>
      <c r="AG264" s="466"/>
      <c r="AH264" s="466"/>
      <c r="AI264" s="466"/>
      <c r="AJ264" s="466"/>
      <c r="AK264" s="466"/>
      <c r="AL264" s="466"/>
      <c r="AM264" s="466"/>
      <c r="AY264" s="476"/>
    </row>
    <row r="265" spans="2:51" s="458" customFormat="1" ht="15" hidden="1">
      <c r="B265" s="443" t="s">
        <v>66</v>
      </c>
      <c r="C265" s="444">
        <f t="shared" ref="C265:AC265" si="82">IF(C258&lt;=C247,C264,IF(C258&lt;=D247,C264+1000,IF(C258&lt;=E247,C264+2000,C264+3000)))</f>
        <v>0</v>
      </c>
      <c r="D265" s="444">
        <f t="shared" si="82"/>
        <v>4000</v>
      </c>
      <c r="E265" s="444">
        <f t="shared" si="82"/>
        <v>5000</v>
      </c>
      <c r="F265" s="444">
        <f t="shared" si="82"/>
        <v>6000</v>
      </c>
      <c r="G265" s="444">
        <f t="shared" si="82"/>
        <v>7000</v>
      </c>
      <c r="H265" s="566">
        <f t="shared" si="82"/>
        <v>8000</v>
      </c>
      <c r="I265" s="566">
        <f t="shared" si="82"/>
        <v>9000</v>
      </c>
      <c r="J265" s="566">
        <f t="shared" si="82"/>
        <v>10000</v>
      </c>
      <c r="K265" s="566">
        <f t="shared" si="82"/>
        <v>11000</v>
      </c>
      <c r="L265" s="566">
        <f t="shared" si="82"/>
        <v>12000</v>
      </c>
      <c r="M265" s="566">
        <f t="shared" si="82"/>
        <v>13000</v>
      </c>
      <c r="N265" s="566">
        <f t="shared" si="82"/>
        <v>14000</v>
      </c>
      <c r="O265" s="566">
        <f t="shared" si="82"/>
        <v>15000</v>
      </c>
      <c r="P265" s="566">
        <f t="shared" si="82"/>
        <v>16000</v>
      </c>
      <c r="Q265" s="566">
        <f t="shared" si="82"/>
        <v>17000</v>
      </c>
      <c r="R265" s="566">
        <f t="shared" si="82"/>
        <v>18000</v>
      </c>
      <c r="S265" s="566">
        <f t="shared" si="82"/>
        <v>19000</v>
      </c>
      <c r="T265" s="566">
        <f t="shared" si="82"/>
        <v>20000</v>
      </c>
      <c r="U265" s="566">
        <f t="shared" si="82"/>
        <v>21000</v>
      </c>
      <c r="V265" s="566">
        <f t="shared" si="82"/>
        <v>22000</v>
      </c>
      <c r="W265" s="566">
        <f t="shared" si="82"/>
        <v>23000</v>
      </c>
      <c r="X265" s="566">
        <f t="shared" si="82"/>
        <v>24000</v>
      </c>
      <c r="Y265" s="566">
        <f t="shared" si="82"/>
        <v>25000</v>
      </c>
      <c r="Z265" s="566">
        <f t="shared" si="82"/>
        <v>26000</v>
      </c>
      <c r="AA265" s="566">
        <f t="shared" si="82"/>
        <v>27000</v>
      </c>
      <c r="AB265" s="566">
        <f t="shared" si="82"/>
        <v>28000</v>
      </c>
      <c r="AC265" s="566">
        <f t="shared" si="82"/>
        <v>70946</v>
      </c>
      <c r="AD265" s="567"/>
      <c r="AE265" s="567"/>
      <c r="AF265" s="567"/>
      <c r="AG265" s="466"/>
      <c r="AH265" s="466"/>
      <c r="AI265" s="466"/>
      <c r="AJ265" s="466"/>
      <c r="AK265" s="466"/>
      <c r="AL265" s="466"/>
      <c r="AM265" s="466"/>
      <c r="AY265" s="476"/>
    </row>
    <row r="266" spans="2:51" s="458" customFormat="1" ht="15" hidden="1">
      <c r="B266" s="443"/>
      <c r="C266" s="444"/>
      <c r="D266" s="444"/>
      <c r="E266" s="444"/>
      <c r="F266" s="444"/>
      <c r="G266" s="444"/>
      <c r="H266" s="566"/>
      <c r="I266" s="566"/>
      <c r="J266" s="566"/>
      <c r="K266" s="566"/>
      <c r="L266" s="566"/>
      <c r="M266" s="566"/>
      <c r="N266" s="566"/>
      <c r="O266" s="566"/>
      <c r="P266" s="566"/>
      <c r="Q266" s="566"/>
      <c r="R266" s="566"/>
      <c r="S266" s="566"/>
      <c r="T266" s="566"/>
      <c r="U266" s="566"/>
      <c r="V266" s="566"/>
      <c r="W266" s="566"/>
      <c r="X266" s="566"/>
      <c r="Y266" s="566"/>
      <c r="Z266" s="566"/>
      <c r="AA266" s="566"/>
      <c r="AB266" s="566"/>
      <c r="AC266" s="566"/>
      <c r="AD266" s="567"/>
      <c r="AE266" s="567"/>
      <c r="AF266" s="567"/>
      <c r="AG266" s="466"/>
      <c r="AH266" s="466"/>
      <c r="AI266" s="466"/>
      <c r="AJ266" s="466"/>
      <c r="AK266" s="466"/>
      <c r="AL266" s="466"/>
      <c r="AM266" s="466"/>
      <c r="AY266" s="476"/>
    </row>
    <row r="267" spans="2:51" s="458" customFormat="1" ht="15" hidden="1">
      <c r="B267" s="443" t="s">
        <v>373</v>
      </c>
      <c r="C267" s="444"/>
      <c r="D267" s="444"/>
      <c r="E267" s="444"/>
      <c r="F267" s="444"/>
      <c r="G267" s="444"/>
      <c r="H267" s="566"/>
      <c r="I267" s="566"/>
      <c r="J267" s="566"/>
      <c r="K267" s="566"/>
      <c r="L267" s="566"/>
      <c r="M267" s="566"/>
      <c r="N267" s="566"/>
      <c r="O267" s="566"/>
      <c r="P267" s="566"/>
      <c r="Q267" s="566"/>
      <c r="R267" s="566"/>
      <c r="S267" s="566"/>
      <c r="T267" s="566"/>
      <c r="U267" s="566"/>
      <c r="V267" s="566"/>
      <c r="W267" s="566"/>
      <c r="X267" s="566"/>
      <c r="Y267" s="566"/>
      <c r="Z267" s="566"/>
      <c r="AA267" s="566"/>
      <c r="AB267" s="566"/>
      <c r="AC267" s="566"/>
      <c r="AD267" s="567"/>
      <c r="AE267" s="567"/>
      <c r="AF267" s="567"/>
      <c r="AG267" s="466"/>
      <c r="AH267" s="466"/>
      <c r="AI267" s="466"/>
      <c r="AJ267" s="466"/>
      <c r="AK267" s="466"/>
      <c r="AL267" s="466"/>
      <c r="AM267" s="466"/>
      <c r="AY267" s="476"/>
    </row>
    <row r="268" spans="2:51" s="458" customFormat="1" ht="15" hidden="1">
      <c r="B268" s="443" t="s">
        <v>47</v>
      </c>
      <c r="C268" s="446" t="e">
        <f>ROUND(C$159/(1+(#REF!*#REF!)),0)</f>
        <v>#REF!</v>
      </c>
      <c r="D268" s="446" t="e">
        <f>ROUND(D$159/(1+(#REF!*#REF!)),0)</f>
        <v>#REF!</v>
      </c>
      <c r="E268" s="446" t="e">
        <f>ROUND(E$159/(1+(#REF!*#REF!)),0)</f>
        <v>#REF!</v>
      </c>
      <c r="F268" s="446" t="e">
        <f>ROUND(F$159/(1+(#REF!*#REF!)),0)</f>
        <v>#REF!</v>
      </c>
      <c r="G268" s="446" t="e">
        <f>ROUND(G$159/(1+(#REF!*#REF!)),0)</f>
        <v>#REF!</v>
      </c>
      <c r="H268" s="568" t="e">
        <f>ROUND(H$159/(1+(#REF!*#REF!)),0)</f>
        <v>#REF!</v>
      </c>
      <c r="I268" s="568" t="e">
        <f>ROUND(I$159/(1+(#REF!*#REF!)),0)</f>
        <v>#REF!</v>
      </c>
      <c r="J268" s="568" t="e">
        <f>ROUND(J$159/(1+(#REF!*#REF!)),0)</f>
        <v>#REF!</v>
      </c>
      <c r="K268" s="568" t="e">
        <f>ROUND(K$159/(1+(#REF!*#REF!)),0)</f>
        <v>#REF!</v>
      </c>
      <c r="L268" s="568" t="e">
        <f>ROUND(L$159/(1+(#REF!*#REF!)),0)</f>
        <v>#REF!</v>
      </c>
      <c r="M268" s="568" t="e">
        <f>ROUND(M$159/(1+(#REF!*#REF!)),0)</f>
        <v>#REF!</v>
      </c>
      <c r="N268" s="568" t="e">
        <f>ROUND(N$159/(1+(#REF!*#REF!)),0)</f>
        <v>#REF!</v>
      </c>
      <c r="O268" s="568" t="e">
        <f>ROUND(O$159/(1+(#REF!*#REF!)),0)</f>
        <v>#REF!</v>
      </c>
      <c r="P268" s="568" t="e">
        <f>ROUND(P$159/(1+(#REF!*#REF!)),0)</f>
        <v>#REF!</v>
      </c>
      <c r="Q268" s="568" t="e">
        <f>ROUND(Q$159/(1+(#REF!*#REF!)),0)</f>
        <v>#REF!</v>
      </c>
      <c r="R268" s="568" t="e">
        <f>ROUND(R$159/(1+(#REF!*#REF!)),0)</f>
        <v>#REF!</v>
      </c>
      <c r="S268" s="568" t="e">
        <f>ROUND(S$159/(1+(#REF!*#REF!)),0)</f>
        <v>#REF!</v>
      </c>
      <c r="T268" s="568" t="e">
        <f>ROUND(T$159/(1+(#REF!*#REF!)),0)</f>
        <v>#REF!</v>
      </c>
      <c r="U268" s="568" t="e">
        <f>ROUND(U$159/(1+(#REF!*#REF!)),0)</f>
        <v>#REF!</v>
      </c>
      <c r="V268" s="568" t="e">
        <f>ROUND(V$159/(1+(#REF!*#REF!)),0)</f>
        <v>#REF!</v>
      </c>
      <c r="W268" s="568" t="e">
        <f>ROUND(W$159/(1+(#REF!*#REF!)),0)</f>
        <v>#REF!</v>
      </c>
      <c r="X268" s="568" t="e">
        <f>ROUND(X$159/(1+(#REF!*#REF!)),0)</f>
        <v>#REF!</v>
      </c>
      <c r="Y268" s="568" t="e">
        <f>ROUND(Y$159/(1+(#REF!*#REF!)),0)</f>
        <v>#REF!</v>
      </c>
      <c r="Z268" s="568" t="e">
        <f>ROUND(Z$159/(1+(#REF!*#REF!)),0)</f>
        <v>#REF!</v>
      </c>
      <c r="AA268" s="568" t="e">
        <f>ROUND(AA$159/(1+(#REF!*#REF!)),0)</f>
        <v>#REF!</v>
      </c>
      <c r="AB268" s="568" t="e">
        <f>ROUND(AB$159/(1+(#REF!*#REF!)),0)</f>
        <v>#REF!</v>
      </c>
      <c r="AC268" s="568" t="e">
        <f>ROUND(AC$159/(1+(#REF!*#REF!)),0)</f>
        <v>#REF!</v>
      </c>
      <c r="AD268" s="567"/>
      <c r="AE268" s="567"/>
      <c r="AF268" s="567"/>
      <c r="AG268" s="466"/>
      <c r="AH268" s="466"/>
      <c r="AI268" s="466"/>
      <c r="AJ268" s="466"/>
      <c r="AK268" s="466"/>
      <c r="AL268" s="466"/>
      <c r="AM268" s="466"/>
      <c r="AY268" s="476"/>
    </row>
    <row r="269" spans="2:51" s="458" customFormat="1" ht="15" hidden="1">
      <c r="B269" s="443" t="s">
        <v>76</v>
      </c>
      <c r="C269" s="446"/>
      <c r="D269" s="446" t="e">
        <f t="shared" ref="D269:AC269" si="83">IF(C268&gt;C247,C268-C247,0)</f>
        <v>#REF!</v>
      </c>
      <c r="E269" s="446" t="e">
        <f t="shared" si="83"/>
        <v>#REF!</v>
      </c>
      <c r="F269" s="446" t="e">
        <f t="shared" si="83"/>
        <v>#REF!</v>
      </c>
      <c r="G269" s="446" t="e">
        <f t="shared" si="83"/>
        <v>#REF!</v>
      </c>
      <c r="H269" s="568" t="e">
        <f t="shared" si="83"/>
        <v>#REF!</v>
      </c>
      <c r="I269" s="568" t="e">
        <f t="shared" si="83"/>
        <v>#REF!</v>
      </c>
      <c r="J269" s="568" t="e">
        <f t="shared" si="83"/>
        <v>#REF!</v>
      </c>
      <c r="K269" s="568" t="e">
        <f t="shared" si="83"/>
        <v>#REF!</v>
      </c>
      <c r="L269" s="568" t="e">
        <f t="shared" si="83"/>
        <v>#REF!</v>
      </c>
      <c r="M269" s="568" t="e">
        <f t="shared" si="83"/>
        <v>#REF!</v>
      </c>
      <c r="N269" s="568" t="e">
        <f t="shared" si="83"/>
        <v>#REF!</v>
      </c>
      <c r="O269" s="568" t="e">
        <f t="shared" si="83"/>
        <v>#REF!</v>
      </c>
      <c r="P269" s="568" t="e">
        <f t="shared" si="83"/>
        <v>#REF!</v>
      </c>
      <c r="Q269" s="568" t="e">
        <f t="shared" si="83"/>
        <v>#REF!</v>
      </c>
      <c r="R269" s="568" t="e">
        <f t="shared" si="83"/>
        <v>#REF!</v>
      </c>
      <c r="S269" s="568" t="e">
        <f t="shared" si="83"/>
        <v>#REF!</v>
      </c>
      <c r="T269" s="568" t="e">
        <f t="shared" si="83"/>
        <v>#REF!</v>
      </c>
      <c r="U269" s="568" t="e">
        <f t="shared" si="83"/>
        <v>#REF!</v>
      </c>
      <c r="V269" s="568" t="e">
        <f t="shared" si="83"/>
        <v>#REF!</v>
      </c>
      <c r="W269" s="568" t="e">
        <f t="shared" si="83"/>
        <v>#REF!</v>
      </c>
      <c r="X269" s="568" t="e">
        <f t="shared" si="83"/>
        <v>#REF!</v>
      </c>
      <c r="Y269" s="568" t="e">
        <f t="shared" si="83"/>
        <v>#REF!</v>
      </c>
      <c r="Z269" s="568" t="e">
        <f t="shared" si="83"/>
        <v>#REF!</v>
      </c>
      <c r="AA269" s="568" t="e">
        <f t="shared" si="83"/>
        <v>#REF!</v>
      </c>
      <c r="AB269" s="568" t="e">
        <f t="shared" si="83"/>
        <v>#REF!</v>
      </c>
      <c r="AC269" s="568" t="e">
        <f t="shared" si="83"/>
        <v>#REF!</v>
      </c>
      <c r="AD269" s="567"/>
      <c r="AE269" s="567"/>
      <c r="AF269" s="567"/>
      <c r="AG269" s="466"/>
      <c r="AH269" s="466"/>
      <c r="AI269" s="466"/>
      <c r="AJ269" s="466"/>
      <c r="AK269" s="466"/>
      <c r="AL269" s="466"/>
      <c r="AM269" s="466"/>
      <c r="AY269" s="476"/>
    </row>
    <row r="270" spans="2:51" s="458" customFormat="1" ht="15" hidden="1">
      <c r="B270" s="443" t="s">
        <v>71</v>
      </c>
      <c r="C270" s="446"/>
      <c r="D270" s="446" t="e">
        <f>IF(D269&gt;0,D259,0)</f>
        <v>#REF!</v>
      </c>
      <c r="E270" s="446" t="e">
        <f>IF(E269&gt;0,E259,0)</f>
        <v>#REF!</v>
      </c>
      <c r="F270" s="446" t="e">
        <f>IF(F269&gt;0,F259,0)</f>
        <v>#REF!</v>
      </c>
      <c r="G270" s="446" t="e">
        <f t="shared" ref="G270:AC270" si="84">IF(G269&gt;0,G259,0)</f>
        <v>#REF!</v>
      </c>
      <c r="H270" s="568" t="e">
        <f t="shared" si="84"/>
        <v>#REF!</v>
      </c>
      <c r="I270" s="568" t="e">
        <f t="shared" si="84"/>
        <v>#REF!</v>
      </c>
      <c r="J270" s="568" t="e">
        <f t="shared" si="84"/>
        <v>#REF!</v>
      </c>
      <c r="K270" s="568" t="e">
        <f t="shared" si="84"/>
        <v>#REF!</v>
      </c>
      <c r="L270" s="568" t="e">
        <f t="shared" si="84"/>
        <v>#REF!</v>
      </c>
      <c r="M270" s="568" t="e">
        <f t="shared" si="84"/>
        <v>#REF!</v>
      </c>
      <c r="N270" s="568" t="e">
        <f t="shared" si="84"/>
        <v>#REF!</v>
      </c>
      <c r="O270" s="568" t="e">
        <f t="shared" si="84"/>
        <v>#REF!</v>
      </c>
      <c r="P270" s="568" t="e">
        <f t="shared" si="84"/>
        <v>#REF!</v>
      </c>
      <c r="Q270" s="568" t="e">
        <f t="shared" si="84"/>
        <v>#REF!</v>
      </c>
      <c r="R270" s="568" t="e">
        <f t="shared" si="84"/>
        <v>#REF!</v>
      </c>
      <c r="S270" s="568" t="e">
        <f t="shared" si="84"/>
        <v>#REF!</v>
      </c>
      <c r="T270" s="568" t="e">
        <f t="shared" si="84"/>
        <v>#REF!</v>
      </c>
      <c r="U270" s="568" t="e">
        <f t="shared" si="84"/>
        <v>#REF!</v>
      </c>
      <c r="V270" s="568" t="e">
        <f t="shared" si="84"/>
        <v>#REF!</v>
      </c>
      <c r="W270" s="568" t="e">
        <f t="shared" si="84"/>
        <v>#REF!</v>
      </c>
      <c r="X270" s="568" t="e">
        <f t="shared" si="84"/>
        <v>#REF!</v>
      </c>
      <c r="Y270" s="568" t="e">
        <f t="shared" si="84"/>
        <v>#REF!</v>
      </c>
      <c r="Z270" s="568" t="e">
        <f t="shared" si="84"/>
        <v>#REF!</v>
      </c>
      <c r="AA270" s="568" t="e">
        <f t="shared" si="84"/>
        <v>#REF!</v>
      </c>
      <c r="AB270" s="568" t="e">
        <f t="shared" si="84"/>
        <v>#REF!</v>
      </c>
      <c r="AC270" s="568" t="e">
        <f t="shared" si="84"/>
        <v>#REF!</v>
      </c>
      <c r="AD270" s="567"/>
      <c r="AE270" s="567"/>
      <c r="AF270" s="567"/>
      <c r="AG270" s="466"/>
      <c r="AH270" s="466"/>
      <c r="AI270" s="466"/>
      <c r="AJ270" s="466"/>
      <c r="AK270" s="466"/>
      <c r="AL270" s="466"/>
      <c r="AM270" s="466"/>
      <c r="AY270" s="476"/>
    </row>
    <row r="271" spans="2:51" s="458" customFormat="1" ht="15" hidden="1">
      <c r="B271" s="443" t="s">
        <v>70</v>
      </c>
      <c r="C271" s="446"/>
      <c r="D271" s="446" t="e">
        <f t="shared" ref="D271:AC271" si="85">MIN(D248,ROUND(D270*D269,0))</f>
        <v>#REF!</v>
      </c>
      <c r="E271" s="446" t="e">
        <f t="shared" si="85"/>
        <v>#REF!</v>
      </c>
      <c r="F271" s="446" t="e">
        <f t="shared" si="85"/>
        <v>#REF!</v>
      </c>
      <c r="G271" s="446" t="e">
        <f t="shared" si="85"/>
        <v>#REF!</v>
      </c>
      <c r="H271" s="568" t="e">
        <f t="shared" si="85"/>
        <v>#REF!</v>
      </c>
      <c r="I271" s="568" t="e">
        <f t="shared" si="85"/>
        <v>#REF!</v>
      </c>
      <c r="J271" s="568" t="e">
        <f t="shared" si="85"/>
        <v>#REF!</v>
      </c>
      <c r="K271" s="568" t="e">
        <f t="shared" si="85"/>
        <v>#REF!</v>
      </c>
      <c r="L271" s="568" t="e">
        <f t="shared" si="85"/>
        <v>#REF!</v>
      </c>
      <c r="M271" s="568" t="e">
        <f t="shared" si="85"/>
        <v>#REF!</v>
      </c>
      <c r="N271" s="568" t="e">
        <f t="shared" si="85"/>
        <v>#REF!</v>
      </c>
      <c r="O271" s="568" t="e">
        <f t="shared" si="85"/>
        <v>#REF!</v>
      </c>
      <c r="P271" s="568" t="e">
        <f t="shared" si="85"/>
        <v>#REF!</v>
      </c>
      <c r="Q271" s="568" t="e">
        <f t="shared" si="85"/>
        <v>#REF!</v>
      </c>
      <c r="R271" s="568" t="e">
        <f t="shared" si="85"/>
        <v>#REF!</v>
      </c>
      <c r="S271" s="568" t="e">
        <f t="shared" si="85"/>
        <v>#REF!</v>
      </c>
      <c r="T271" s="568" t="e">
        <f t="shared" si="85"/>
        <v>#REF!</v>
      </c>
      <c r="U271" s="568" t="e">
        <f t="shared" si="85"/>
        <v>#REF!</v>
      </c>
      <c r="V271" s="568" t="e">
        <f t="shared" si="85"/>
        <v>#REF!</v>
      </c>
      <c r="W271" s="568" t="e">
        <f t="shared" si="85"/>
        <v>#REF!</v>
      </c>
      <c r="X271" s="568" t="e">
        <f t="shared" si="85"/>
        <v>#REF!</v>
      </c>
      <c r="Y271" s="568" t="e">
        <f t="shared" si="85"/>
        <v>#REF!</v>
      </c>
      <c r="Z271" s="568" t="e">
        <f t="shared" si="85"/>
        <v>#REF!</v>
      </c>
      <c r="AA271" s="568" t="e">
        <f t="shared" si="85"/>
        <v>#REF!</v>
      </c>
      <c r="AB271" s="568" t="e">
        <f t="shared" si="85"/>
        <v>#REF!</v>
      </c>
      <c r="AC271" s="568" t="e">
        <f t="shared" si="85"/>
        <v>#REF!</v>
      </c>
      <c r="AD271" s="567"/>
      <c r="AE271" s="567"/>
      <c r="AF271" s="567"/>
      <c r="AG271" s="466"/>
      <c r="AH271" s="466"/>
      <c r="AI271" s="466"/>
      <c r="AJ271" s="466"/>
      <c r="AK271" s="466"/>
      <c r="AL271" s="466"/>
      <c r="AM271" s="466"/>
      <c r="AY271" s="476"/>
    </row>
    <row r="272" spans="2:51" s="458" customFormat="1" ht="15" hidden="1">
      <c r="B272" s="443" t="s">
        <v>74</v>
      </c>
      <c r="C272" s="446" t="e">
        <f>D271-C271</f>
        <v>#REF!</v>
      </c>
      <c r="D272" s="446" t="e">
        <f>E271-D271</f>
        <v>#REF!</v>
      </c>
      <c r="E272" s="446" t="e">
        <f t="shared" ref="E272:AC272" si="86">F271-E271</f>
        <v>#REF!</v>
      </c>
      <c r="F272" s="446" t="e">
        <f t="shared" si="86"/>
        <v>#REF!</v>
      </c>
      <c r="G272" s="446" t="e">
        <f t="shared" si="86"/>
        <v>#REF!</v>
      </c>
      <c r="H272" s="568" t="e">
        <f t="shared" si="86"/>
        <v>#REF!</v>
      </c>
      <c r="I272" s="568" t="e">
        <f t="shared" si="86"/>
        <v>#REF!</v>
      </c>
      <c r="J272" s="568" t="e">
        <f t="shared" si="86"/>
        <v>#REF!</v>
      </c>
      <c r="K272" s="568" t="e">
        <f t="shared" si="86"/>
        <v>#REF!</v>
      </c>
      <c r="L272" s="568" t="e">
        <f t="shared" si="86"/>
        <v>#REF!</v>
      </c>
      <c r="M272" s="568" t="e">
        <f t="shared" si="86"/>
        <v>#REF!</v>
      </c>
      <c r="N272" s="568" t="e">
        <f t="shared" si="86"/>
        <v>#REF!</v>
      </c>
      <c r="O272" s="568" t="e">
        <f t="shared" si="86"/>
        <v>#REF!</v>
      </c>
      <c r="P272" s="568" t="e">
        <f t="shared" si="86"/>
        <v>#REF!</v>
      </c>
      <c r="Q272" s="568" t="e">
        <f t="shared" si="86"/>
        <v>#REF!</v>
      </c>
      <c r="R272" s="568" t="e">
        <f t="shared" si="86"/>
        <v>#REF!</v>
      </c>
      <c r="S272" s="568" t="e">
        <f t="shared" si="86"/>
        <v>#REF!</v>
      </c>
      <c r="T272" s="568" t="e">
        <f t="shared" si="86"/>
        <v>#REF!</v>
      </c>
      <c r="U272" s="568" t="e">
        <f t="shared" si="86"/>
        <v>#REF!</v>
      </c>
      <c r="V272" s="568" t="e">
        <f t="shared" si="86"/>
        <v>#REF!</v>
      </c>
      <c r="W272" s="568" t="e">
        <f t="shared" si="86"/>
        <v>#REF!</v>
      </c>
      <c r="X272" s="568" t="e">
        <f t="shared" si="86"/>
        <v>#REF!</v>
      </c>
      <c r="Y272" s="568" t="e">
        <f t="shared" si="86"/>
        <v>#REF!</v>
      </c>
      <c r="Z272" s="568" t="e">
        <f t="shared" si="86"/>
        <v>#REF!</v>
      </c>
      <c r="AA272" s="568" t="e">
        <f t="shared" si="86"/>
        <v>#REF!</v>
      </c>
      <c r="AB272" s="568" t="e">
        <f t="shared" si="86"/>
        <v>#REF!</v>
      </c>
      <c r="AC272" s="568" t="e">
        <f t="shared" si="86"/>
        <v>#REF!</v>
      </c>
      <c r="AD272" s="567"/>
      <c r="AE272" s="567"/>
      <c r="AF272" s="567"/>
      <c r="AG272" s="466"/>
      <c r="AH272" s="466"/>
      <c r="AI272" s="466"/>
      <c r="AJ272" s="466"/>
      <c r="AK272" s="466"/>
      <c r="AL272" s="466"/>
      <c r="AM272" s="466"/>
      <c r="AY272" s="476"/>
    </row>
    <row r="273" spans="2:51" s="458" customFormat="1" ht="15" hidden="1">
      <c r="B273" s="443"/>
      <c r="C273" s="446"/>
      <c r="D273" s="446"/>
      <c r="E273" s="446"/>
      <c r="F273" s="446"/>
      <c r="G273" s="446"/>
      <c r="H273" s="568"/>
      <c r="I273" s="568"/>
      <c r="J273" s="568"/>
      <c r="K273" s="568"/>
      <c r="L273" s="568"/>
      <c r="M273" s="568"/>
      <c r="N273" s="568"/>
      <c r="O273" s="568"/>
      <c r="P273" s="568"/>
      <c r="Q273" s="568"/>
      <c r="R273" s="568"/>
      <c r="S273" s="568"/>
      <c r="T273" s="568"/>
      <c r="U273" s="568"/>
      <c r="V273" s="568"/>
      <c r="W273" s="568"/>
      <c r="X273" s="568"/>
      <c r="Y273" s="568"/>
      <c r="Z273" s="568"/>
      <c r="AA273" s="568"/>
      <c r="AB273" s="568"/>
      <c r="AC273" s="568"/>
      <c r="AD273" s="567"/>
      <c r="AE273" s="567"/>
      <c r="AF273" s="567"/>
      <c r="AG273" s="466"/>
      <c r="AH273" s="466"/>
      <c r="AI273" s="466"/>
      <c r="AJ273" s="466"/>
      <c r="AK273" s="466"/>
      <c r="AL273" s="466"/>
      <c r="AM273" s="466"/>
      <c r="AY273" s="476"/>
    </row>
    <row r="274" spans="2:51" s="458" customFormat="1" ht="15" hidden="1">
      <c r="B274" s="443" t="s">
        <v>72</v>
      </c>
      <c r="C274" s="445"/>
      <c r="D274" s="446"/>
      <c r="E274" s="446"/>
      <c r="F274" s="446"/>
      <c r="G274" s="446"/>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7"/>
      <c r="AE274" s="567"/>
      <c r="AF274" s="567"/>
      <c r="AG274" s="466"/>
      <c r="AH274" s="466"/>
      <c r="AI274" s="466"/>
      <c r="AJ274" s="466"/>
      <c r="AK274" s="466"/>
      <c r="AL274" s="466"/>
      <c r="AM274" s="466"/>
      <c r="AY274" s="476"/>
    </row>
    <row r="275" spans="2:51" s="458" customFormat="1" ht="15" hidden="1">
      <c r="B275" s="443" t="s">
        <v>73</v>
      </c>
      <c r="C275" s="446" t="e">
        <f>C268</f>
        <v>#REF!</v>
      </c>
      <c r="D275" s="446">
        <f>D258</f>
        <v>983</v>
      </c>
      <c r="E275" s="446">
        <f t="shared" ref="E275:AC275" si="87">E258</f>
        <v>1965</v>
      </c>
      <c r="F275" s="446">
        <f t="shared" si="87"/>
        <v>3739</v>
      </c>
      <c r="G275" s="446">
        <f t="shared" si="87"/>
        <v>4985</v>
      </c>
      <c r="H275" s="568">
        <f t="shared" si="87"/>
        <v>6232</v>
      </c>
      <c r="I275" s="568">
        <f t="shared" si="87"/>
        <v>7478</v>
      </c>
      <c r="J275" s="568">
        <f t="shared" si="87"/>
        <v>8724</v>
      </c>
      <c r="K275" s="568">
        <f t="shared" si="87"/>
        <v>9971</v>
      </c>
      <c r="L275" s="568">
        <f t="shared" si="87"/>
        <v>11217</v>
      </c>
      <c r="M275" s="568">
        <f t="shared" si="87"/>
        <v>12464</v>
      </c>
      <c r="N275" s="568">
        <f t="shared" si="87"/>
        <v>13710</v>
      </c>
      <c r="O275" s="568">
        <f t="shared" si="87"/>
        <v>14956</v>
      </c>
      <c r="P275" s="568">
        <f t="shared" si="87"/>
        <v>16203</v>
      </c>
      <c r="Q275" s="568">
        <f t="shared" si="87"/>
        <v>17449</v>
      </c>
      <c r="R275" s="568">
        <f t="shared" si="87"/>
        <v>18695</v>
      </c>
      <c r="S275" s="568">
        <f t="shared" si="87"/>
        <v>19942</v>
      </c>
      <c r="T275" s="568">
        <f t="shared" si="87"/>
        <v>21188</v>
      </c>
      <c r="U275" s="568">
        <f t="shared" si="87"/>
        <v>22434</v>
      </c>
      <c r="V275" s="568">
        <f t="shared" si="87"/>
        <v>23681</v>
      </c>
      <c r="W275" s="568">
        <f t="shared" si="87"/>
        <v>24927</v>
      </c>
      <c r="X275" s="568">
        <f t="shared" si="87"/>
        <v>26173</v>
      </c>
      <c r="Y275" s="568">
        <f t="shared" si="87"/>
        <v>27420</v>
      </c>
      <c r="Z275" s="568">
        <f t="shared" si="87"/>
        <v>28666</v>
      </c>
      <c r="AA275" s="568">
        <f t="shared" si="87"/>
        <v>29912</v>
      </c>
      <c r="AB275" s="568">
        <f t="shared" si="87"/>
        <v>31159</v>
      </c>
      <c r="AC275" s="568">
        <f t="shared" si="87"/>
        <v>67946</v>
      </c>
      <c r="AD275" s="567"/>
      <c r="AE275" s="567"/>
      <c r="AF275" s="567"/>
      <c r="AG275" s="466"/>
      <c r="AH275" s="466"/>
      <c r="AI275" s="466"/>
      <c r="AJ275" s="466"/>
      <c r="AK275" s="466"/>
      <c r="AL275" s="466"/>
      <c r="AM275" s="466"/>
      <c r="AY275" s="476"/>
    </row>
    <row r="276" spans="2:51" s="458" customFormat="1" ht="15" hidden="1">
      <c r="B276" s="443" t="s">
        <v>75</v>
      </c>
      <c r="C276" s="446" t="e">
        <f t="shared" ref="C276:AC276" si="88">IF(C275&gt;C247,C275-C247,0)</f>
        <v>#REF!</v>
      </c>
      <c r="D276" s="446">
        <f t="shared" si="88"/>
        <v>983</v>
      </c>
      <c r="E276" s="446">
        <f t="shared" si="88"/>
        <v>1965</v>
      </c>
      <c r="F276" s="446">
        <f t="shared" si="88"/>
        <v>3739</v>
      </c>
      <c r="G276" s="446">
        <f t="shared" si="88"/>
        <v>4985</v>
      </c>
      <c r="H276" s="568">
        <f t="shared" si="88"/>
        <v>6232</v>
      </c>
      <c r="I276" s="568">
        <f t="shared" si="88"/>
        <v>7478</v>
      </c>
      <c r="J276" s="568">
        <f t="shared" si="88"/>
        <v>8724</v>
      </c>
      <c r="K276" s="568">
        <f t="shared" si="88"/>
        <v>9971</v>
      </c>
      <c r="L276" s="568">
        <f t="shared" si="88"/>
        <v>11217</v>
      </c>
      <c r="M276" s="568">
        <f t="shared" si="88"/>
        <v>12464</v>
      </c>
      <c r="N276" s="568">
        <f t="shared" si="88"/>
        <v>13710</v>
      </c>
      <c r="O276" s="568">
        <f t="shared" si="88"/>
        <v>14956</v>
      </c>
      <c r="P276" s="568">
        <f t="shared" si="88"/>
        <v>16203</v>
      </c>
      <c r="Q276" s="568">
        <f t="shared" si="88"/>
        <v>17449</v>
      </c>
      <c r="R276" s="568">
        <f t="shared" si="88"/>
        <v>18695</v>
      </c>
      <c r="S276" s="568">
        <f t="shared" si="88"/>
        <v>19942</v>
      </c>
      <c r="T276" s="568">
        <f t="shared" si="88"/>
        <v>21188</v>
      </c>
      <c r="U276" s="568">
        <f t="shared" si="88"/>
        <v>22434</v>
      </c>
      <c r="V276" s="568">
        <f t="shared" si="88"/>
        <v>23681</v>
      </c>
      <c r="W276" s="568">
        <f t="shared" si="88"/>
        <v>24927</v>
      </c>
      <c r="X276" s="568">
        <f t="shared" si="88"/>
        <v>26173</v>
      </c>
      <c r="Y276" s="568">
        <f t="shared" si="88"/>
        <v>27420</v>
      </c>
      <c r="Z276" s="568">
        <f t="shared" si="88"/>
        <v>28666</v>
      </c>
      <c r="AA276" s="568">
        <f t="shared" si="88"/>
        <v>29912</v>
      </c>
      <c r="AB276" s="568">
        <f t="shared" si="88"/>
        <v>31159</v>
      </c>
      <c r="AC276" s="568">
        <f t="shared" si="88"/>
        <v>67946</v>
      </c>
      <c r="AD276" s="567"/>
      <c r="AE276" s="567"/>
      <c r="AF276" s="567"/>
      <c r="AG276" s="466"/>
      <c r="AH276" s="466"/>
      <c r="AI276" s="466"/>
      <c r="AJ276" s="466"/>
      <c r="AK276" s="466"/>
      <c r="AL276" s="466"/>
      <c r="AM276" s="466"/>
      <c r="AY276" s="476"/>
    </row>
    <row r="277" spans="2:51" s="458" customFormat="1" ht="15" hidden="1">
      <c r="B277" s="443" t="s">
        <v>71</v>
      </c>
      <c r="C277" s="446" t="e">
        <f>IF(C276&gt;0,C259,0)</f>
        <v>#REF!</v>
      </c>
      <c r="D277" s="446">
        <f t="shared" ref="D277:AC277" si="89">IF(D276&gt;0,D259,0)</f>
        <v>85.336724313326556</v>
      </c>
      <c r="E277" s="446">
        <f t="shared" si="89"/>
        <v>120.99490835030549</v>
      </c>
      <c r="F277" s="446">
        <f t="shared" si="89"/>
        <v>68.18432919954904</v>
      </c>
      <c r="G277" s="446">
        <f t="shared" si="89"/>
        <v>91.050561797752806</v>
      </c>
      <c r="H277" s="568">
        <f t="shared" si="89"/>
        <v>69.60866078588613</v>
      </c>
      <c r="I277" s="568">
        <f t="shared" si="89"/>
        <v>54.24558587479936</v>
      </c>
      <c r="J277" s="568">
        <f t="shared" si="89"/>
        <v>36.114767255216691</v>
      </c>
      <c r="K277" s="568">
        <f t="shared" si="89"/>
        <v>28.391339214113874</v>
      </c>
      <c r="L277" s="568">
        <f t="shared" si="89"/>
        <v>17.964686998394864</v>
      </c>
      <c r="M277" s="568">
        <f t="shared" si="89"/>
        <v>15.538893344025661</v>
      </c>
      <c r="N277" s="568">
        <f t="shared" si="89"/>
        <v>9.5762439807383632</v>
      </c>
      <c r="O277" s="568">
        <f t="shared" si="89"/>
        <v>9.1797752808988768</v>
      </c>
      <c r="P277" s="568">
        <f t="shared" si="89"/>
        <v>5.7722534081796315</v>
      </c>
      <c r="Q277" s="568">
        <f t="shared" si="89"/>
        <v>5.815409309791332</v>
      </c>
      <c r="R277" s="568">
        <f t="shared" si="89"/>
        <v>3.8242375601926164</v>
      </c>
      <c r="S277" s="568">
        <f t="shared" si="89"/>
        <v>4.0128307939053727</v>
      </c>
      <c r="T277" s="568">
        <f t="shared" si="89"/>
        <v>2.7640449438202248</v>
      </c>
      <c r="U277" s="568">
        <f t="shared" si="89"/>
        <v>2.9486356340288924</v>
      </c>
      <c r="V277" s="568">
        <f t="shared" si="89"/>
        <v>2.0617481956696069</v>
      </c>
      <c r="W277" s="568">
        <f t="shared" si="89"/>
        <v>2.36677367576244</v>
      </c>
      <c r="X277" s="568">
        <f t="shared" si="89"/>
        <v>2.21669341894061</v>
      </c>
      <c r="Y277" s="568">
        <f t="shared" si="89"/>
        <v>2.1275060144346432</v>
      </c>
      <c r="Z277" s="568">
        <f t="shared" si="89"/>
        <v>2.0096308186195828</v>
      </c>
      <c r="AA277" s="568">
        <f t="shared" si="89"/>
        <v>1.8210272873194222</v>
      </c>
      <c r="AB277" s="568">
        <f t="shared" si="89"/>
        <v>1.3095429029671211</v>
      </c>
      <c r="AC277" s="568">
        <f t="shared" si="89"/>
        <v>0.31704134612770818</v>
      </c>
      <c r="AD277" s="567"/>
      <c r="AE277" s="567"/>
      <c r="AF277" s="567"/>
      <c r="AG277" s="466"/>
      <c r="AH277" s="466"/>
      <c r="AI277" s="466"/>
      <c r="AJ277" s="466"/>
      <c r="AK277" s="466"/>
      <c r="AL277" s="466"/>
      <c r="AM277" s="466"/>
      <c r="AY277" s="476"/>
    </row>
    <row r="278" spans="2:51" s="458" customFormat="1" ht="15" hidden="1">
      <c r="B278" s="443" t="s">
        <v>70</v>
      </c>
      <c r="C278" s="446" t="e">
        <f t="shared" ref="C278:AC278" si="90">MIN(ROUND(C277*C276,0),C248)</f>
        <v>#REF!</v>
      </c>
      <c r="D278" s="446">
        <f t="shared" si="90"/>
        <v>83886</v>
      </c>
      <c r="E278" s="446">
        <f t="shared" si="90"/>
        <v>237755</v>
      </c>
      <c r="F278" s="446">
        <f t="shared" si="90"/>
        <v>254941</v>
      </c>
      <c r="G278" s="446">
        <f t="shared" si="90"/>
        <v>453887</v>
      </c>
      <c r="H278" s="568">
        <f t="shared" si="90"/>
        <v>433801</v>
      </c>
      <c r="I278" s="568">
        <f t="shared" si="90"/>
        <v>405648</v>
      </c>
      <c r="J278" s="568">
        <f t="shared" si="90"/>
        <v>315065</v>
      </c>
      <c r="K278" s="568">
        <f t="shared" si="90"/>
        <v>283090</v>
      </c>
      <c r="L278" s="568">
        <f t="shared" si="90"/>
        <v>201510</v>
      </c>
      <c r="M278" s="568">
        <f t="shared" si="90"/>
        <v>193677</v>
      </c>
      <c r="N278" s="568">
        <f t="shared" si="90"/>
        <v>131290</v>
      </c>
      <c r="O278" s="568">
        <f t="shared" si="90"/>
        <v>137293</v>
      </c>
      <c r="P278" s="568">
        <f t="shared" si="90"/>
        <v>93528</v>
      </c>
      <c r="Q278" s="568">
        <f t="shared" si="90"/>
        <v>101473</v>
      </c>
      <c r="R278" s="568">
        <f t="shared" si="90"/>
        <v>71494</v>
      </c>
      <c r="S278" s="568">
        <f t="shared" si="90"/>
        <v>80024</v>
      </c>
      <c r="T278" s="568">
        <f t="shared" si="90"/>
        <v>58565</v>
      </c>
      <c r="U278" s="568">
        <f t="shared" si="90"/>
        <v>66150</v>
      </c>
      <c r="V278" s="568">
        <f t="shared" si="90"/>
        <v>48824</v>
      </c>
      <c r="W278" s="568">
        <f t="shared" si="90"/>
        <v>58997</v>
      </c>
      <c r="X278" s="568">
        <f t="shared" si="90"/>
        <v>58018</v>
      </c>
      <c r="Y278" s="568">
        <f t="shared" si="90"/>
        <v>58336</v>
      </c>
      <c r="Z278" s="568">
        <f t="shared" si="90"/>
        <v>57608</v>
      </c>
      <c r="AA278" s="568">
        <f t="shared" si="90"/>
        <v>54471</v>
      </c>
      <c r="AB278" s="568">
        <f t="shared" si="90"/>
        <v>40804</v>
      </c>
      <c r="AC278" s="568">
        <f t="shared" si="90"/>
        <v>21542</v>
      </c>
      <c r="AD278" s="567"/>
      <c r="AE278" s="567"/>
      <c r="AF278" s="567"/>
      <c r="AG278" s="466"/>
      <c r="AH278" s="466"/>
      <c r="AI278" s="466"/>
      <c r="AJ278" s="466"/>
      <c r="AK278" s="466"/>
      <c r="AL278" s="466"/>
      <c r="AM278" s="466"/>
      <c r="AY278" s="476"/>
    </row>
    <row r="279" spans="2:51" s="458" customFormat="1" ht="15" hidden="1">
      <c r="B279" s="443" t="s">
        <v>74</v>
      </c>
      <c r="C279" s="446"/>
      <c r="D279" s="446" t="e">
        <f>-D278+C278</f>
        <v>#REF!</v>
      </c>
      <c r="E279" s="446">
        <f t="shared" ref="E279:G279" si="91">-E278+D278</f>
        <v>-153869</v>
      </c>
      <c r="F279" s="446">
        <f t="shared" si="91"/>
        <v>-17186</v>
      </c>
      <c r="G279" s="446">
        <f t="shared" si="91"/>
        <v>-198946</v>
      </c>
      <c r="H279" s="568">
        <f>-H278+G278</f>
        <v>20086</v>
      </c>
      <c r="I279" s="568">
        <f>-I278+H278</f>
        <v>28153</v>
      </c>
      <c r="J279" s="568">
        <f t="shared" ref="J279:S279" si="92">-J278+I278</f>
        <v>90583</v>
      </c>
      <c r="K279" s="568">
        <f t="shared" si="92"/>
        <v>31975</v>
      </c>
      <c r="L279" s="568">
        <f t="shared" si="92"/>
        <v>81580</v>
      </c>
      <c r="M279" s="568">
        <f t="shared" si="92"/>
        <v>7833</v>
      </c>
      <c r="N279" s="568">
        <f t="shared" si="92"/>
        <v>62387</v>
      </c>
      <c r="O279" s="568">
        <f t="shared" si="92"/>
        <v>-6003</v>
      </c>
      <c r="P279" s="568">
        <f t="shared" si="92"/>
        <v>43765</v>
      </c>
      <c r="Q279" s="568">
        <f t="shared" si="92"/>
        <v>-7945</v>
      </c>
      <c r="R279" s="568">
        <f t="shared" si="92"/>
        <v>29979</v>
      </c>
      <c r="S279" s="568">
        <f t="shared" si="92"/>
        <v>-8530</v>
      </c>
      <c r="T279" s="568">
        <f>-T278+S278</f>
        <v>21459</v>
      </c>
      <c r="U279" s="568">
        <f t="shared" ref="U279" si="93">-U278+T278</f>
        <v>-7585</v>
      </c>
      <c r="V279" s="568">
        <f>-V278+U278</f>
        <v>17326</v>
      </c>
      <c r="W279" s="568">
        <f t="shared" ref="W279:Y279" si="94">-W278+V278</f>
        <v>-10173</v>
      </c>
      <c r="X279" s="568">
        <f t="shared" si="94"/>
        <v>979</v>
      </c>
      <c r="Y279" s="568">
        <f t="shared" si="94"/>
        <v>-318</v>
      </c>
      <c r="Z279" s="568">
        <f>-Z278+Y278</f>
        <v>728</v>
      </c>
      <c r="AA279" s="568">
        <f t="shared" ref="AA279:AB279" si="95">-AA278+Z278</f>
        <v>3137</v>
      </c>
      <c r="AB279" s="568">
        <f t="shared" si="95"/>
        <v>13667</v>
      </c>
      <c r="AC279" s="568">
        <f>AB278</f>
        <v>40804</v>
      </c>
      <c r="AD279" s="567"/>
      <c r="AE279" s="567"/>
      <c r="AF279" s="567"/>
      <c r="AG279" s="466"/>
      <c r="AH279" s="466"/>
      <c r="AI279" s="466"/>
      <c r="AJ279" s="466"/>
      <c r="AK279" s="466"/>
      <c r="AL279" s="466"/>
      <c r="AM279" s="466"/>
      <c r="AY279" s="476"/>
    </row>
    <row r="280" spans="2:51" s="458" customFormat="1" ht="15" hidden="1">
      <c r="B280" s="443"/>
      <c r="C280" s="446"/>
      <c r="D280" s="446"/>
      <c r="E280" s="446"/>
      <c r="F280" s="446"/>
      <c r="G280" s="446"/>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7"/>
      <c r="AE280" s="567"/>
      <c r="AF280" s="567"/>
      <c r="AG280" s="466"/>
      <c r="AH280" s="466"/>
      <c r="AI280" s="466"/>
      <c r="AJ280" s="466"/>
      <c r="AK280" s="466"/>
      <c r="AL280" s="466"/>
      <c r="AM280" s="466"/>
      <c r="AY280" s="476"/>
    </row>
    <row r="281" spans="2:51" s="458" customFormat="1" ht="15" hidden="1">
      <c r="B281" s="443" t="s">
        <v>77</v>
      </c>
      <c r="C281" s="446">
        <f t="shared" ref="C281:AC283" si="96">C245</f>
        <v>6915224</v>
      </c>
      <c r="D281" s="446">
        <f t="shared" si="96"/>
        <v>0.48403913379966068</v>
      </c>
      <c r="E281" s="446">
        <f t="shared" si="96"/>
        <v>0</v>
      </c>
      <c r="F281" s="446">
        <f t="shared" si="96"/>
        <v>4322000</v>
      </c>
      <c r="G281" s="446">
        <f t="shared" si="96"/>
        <v>0.28050363447559712</v>
      </c>
      <c r="H281" s="568">
        <f t="shared" si="96"/>
        <v>0</v>
      </c>
      <c r="I281" s="568">
        <f t="shared" si="96"/>
        <v>-7.2787009450538939E-2</v>
      </c>
      <c r="J281" s="568">
        <f t="shared" si="96"/>
        <v>0</v>
      </c>
      <c r="K281" s="568">
        <f t="shared" si="96"/>
        <v>0</v>
      </c>
      <c r="L281" s="568">
        <f t="shared" si="96"/>
        <v>0</v>
      </c>
      <c r="M281" s="568">
        <f t="shared" si="96"/>
        <v>0</v>
      </c>
      <c r="N281" s="568">
        <f t="shared" si="96"/>
        <v>0</v>
      </c>
      <c r="O281" s="568">
        <f t="shared" si="96"/>
        <v>0</v>
      </c>
      <c r="P281" s="568">
        <f t="shared" si="96"/>
        <v>0</v>
      </c>
      <c r="Q281" s="568">
        <f t="shared" si="96"/>
        <v>0</v>
      </c>
      <c r="R281" s="568">
        <f t="shared" si="96"/>
        <v>0</v>
      </c>
      <c r="S281" s="568">
        <f t="shared" si="96"/>
        <v>0</v>
      </c>
      <c r="T281" s="568">
        <f t="shared" si="96"/>
        <v>0</v>
      </c>
      <c r="U281" s="568">
        <f t="shared" si="96"/>
        <v>0</v>
      </c>
      <c r="V281" s="568">
        <f t="shared" si="96"/>
        <v>0</v>
      </c>
      <c r="W281" s="568">
        <f t="shared" si="96"/>
        <v>0</v>
      </c>
      <c r="X281" s="568">
        <f t="shared" si="96"/>
        <v>0</v>
      </c>
      <c r="Y281" s="568">
        <f t="shared" si="96"/>
        <v>0</v>
      </c>
      <c r="Z281" s="568">
        <f t="shared" si="96"/>
        <v>0</v>
      </c>
      <c r="AA281" s="568">
        <f t="shared" si="96"/>
        <v>0</v>
      </c>
      <c r="AB281" s="568">
        <f t="shared" si="96"/>
        <v>0</v>
      </c>
      <c r="AC281" s="568">
        <f t="shared" si="96"/>
        <v>0</v>
      </c>
      <c r="AD281" s="567"/>
      <c r="AE281" s="567"/>
      <c r="AF281" s="567"/>
      <c r="AG281" s="466"/>
      <c r="AH281" s="466"/>
      <c r="AI281" s="466"/>
      <c r="AJ281" s="466"/>
      <c r="AK281" s="466"/>
      <c r="AL281" s="466"/>
      <c r="AM281" s="466"/>
      <c r="AY281" s="476"/>
    </row>
    <row r="282" spans="2:51" s="458" customFormat="1" ht="15" hidden="1">
      <c r="B282" s="443" t="s">
        <v>59</v>
      </c>
      <c r="C282" s="446">
        <f t="shared" si="96"/>
        <v>7371273.7583860969</v>
      </c>
      <c r="D282" s="446">
        <f t="shared" si="96"/>
        <v>0.51596086620033943</v>
      </c>
      <c r="E282" s="446">
        <f t="shared" si="96"/>
        <v>0</v>
      </c>
      <c r="F282" s="446">
        <f t="shared" si="96"/>
        <v>11086000</v>
      </c>
      <c r="G282" s="446">
        <f t="shared" si="96"/>
        <v>0.71949636552440288</v>
      </c>
      <c r="H282" s="568">
        <f t="shared" si="96"/>
        <v>0</v>
      </c>
      <c r="I282" s="568">
        <f t="shared" si="96"/>
        <v>0</v>
      </c>
      <c r="J282" s="568">
        <f t="shared" si="96"/>
        <v>0</v>
      </c>
      <c r="K282" s="568">
        <f t="shared" si="96"/>
        <v>0</v>
      </c>
      <c r="L282" s="568">
        <f t="shared" si="96"/>
        <v>0</v>
      </c>
      <c r="M282" s="568">
        <f t="shared" si="96"/>
        <v>0</v>
      </c>
      <c r="N282" s="568">
        <f t="shared" si="96"/>
        <v>0</v>
      </c>
      <c r="O282" s="568">
        <f t="shared" si="96"/>
        <v>0</v>
      </c>
      <c r="P282" s="568">
        <f t="shared" si="96"/>
        <v>0</v>
      </c>
      <c r="Q282" s="568">
        <f t="shared" si="96"/>
        <v>0</v>
      </c>
      <c r="R282" s="568">
        <f t="shared" si="96"/>
        <v>0</v>
      </c>
      <c r="S282" s="568">
        <f t="shared" si="96"/>
        <v>0</v>
      </c>
      <c r="T282" s="568">
        <f t="shared" si="96"/>
        <v>0</v>
      </c>
      <c r="U282" s="568">
        <f t="shared" si="96"/>
        <v>0</v>
      </c>
      <c r="V282" s="568">
        <f t="shared" si="96"/>
        <v>0</v>
      </c>
      <c r="W282" s="568">
        <f t="shared" si="96"/>
        <v>0</v>
      </c>
      <c r="X282" s="568">
        <f t="shared" si="96"/>
        <v>0</v>
      </c>
      <c r="Y282" s="568">
        <f t="shared" si="96"/>
        <v>0</v>
      </c>
      <c r="Z282" s="568">
        <f t="shared" si="96"/>
        <v>0</v>
      </c>
      <c r="AA282" s="568">
        <f t="shared" si="96"/>
        <v>0</v>
      </c>
      <c r="AB282" s="568">
        <f t="shared" si="96"/>
        <v>0</v>
      </c>
      <c r="AC282" s="568">
        <f t="shared" si="96"/>
        <v>0</v>
      </c>
      <c r="AD282" s="567"/>
      <c r="AE282" s="567"/>
      <c r="AF282" s="567"/>
      <c r="AG282" s="466"/>
      <c r="AH282" s="466"/>
      <c r="AI282" s="466"/>
      <c r="AJ282" s="466"/>
      <c r="AK282" s="466"/>
      <c r="AL282" s="466"/>
      <c r="AM282" s="466"/>
      <c r="AY282" s="476"/>
    </row>
    <row r="283" spans="2:51" s="458" customFormat="1" ht="15" hidden="1">
      <c r="B283" s="443" t="s">
        <v>78</v>
      </c>
      <c r="C283" s="446">
        <f t="shared" si="96"/>
        <v>0</v>
      </c>
      <c r="D283" s="446">
        <f t="shared" si="96"/>
        <v>0</v>
      </c>
      <c r="E283" s="446">
        <f t="shared" si="96"/>
        <v>0</v>
      </c>
      <c r="F283" s="446">
        <f t="shared" si="96"/>
        <v>0</v>
      </c>
      <c r="G283" s="446">
        <f t="shared" si="96"/>
        <v>0</v>
      </c>
      <c r="H283" s="568">
        <f t="shared" si="96"/>
        <v>0</v>
      </c>
      <c r="I283" s="568">
        <f t="shared" si="96"/>
        <v>0</v>
      </c>
      <c r="J283" s="568">
        <f t="shared" si="96"/>
        <v>0</v>
      </c>
      <c r="K283" s="568">
        <f t="shared" si="96"/>
        <v>0</v>
      </c>
      <c r="L283" s="568">
        <f t="shared" si="96"/>
        <v>0</v>
      </c>
      <c r="M283" s="568">
        <f t="shared" si="96"/>
        <v>0</v>
      </c>
      <c r="N283" s="568">
        <f t="shared" si="96"/>
        <v>0</v>
      </c>
      <c r="O283" s="568">
        <f t="shared" si="96"/>
        <v>0</v>
      </c>
      <c r="P283" s="568">
        <f t="shared" si="96"/>
        <v>0</v>
      </c>
      <c r="Q283" s="568">
        <f t="shared" si="96"/>
        <v>0</v>
      </c>
      <c r="R283" s="568">
        <f t="shared" si="96"/>
        <v>0</v>
      </c>
      <c r="S283" s="568">
        <f t="shared" si="96"/>
        <v>0</v>
      </c>
      <c r="T283" s="568">
        <f t="shared" si="96"/>
        <v>0</v>
      </c>
      <c r="U283" s="568">
        <f t="shared" si="96"/>
        <v>0</v>
      </c>
      <c r="V283" s="568">
        <f t="shared" si="96"/>
        <v>0</v>
      </c>
      <c r="W283" s="568">
        <f t="shared" si="96"/>
        <v>0</v>
      </c>
      <c r="X283" s="568">
        <f t="shared" si="96"/>
        <v>0</v>
      </c>
      <c r="Y283" s="568">
        <f t="shared" si="96"/>
        <v>0</v>
      </c>
      <c r="Z283" s="568">
        <f t="shared" si="96"/>
        <v>0</v>
      </c>
      <c r="AA283" s="568">
        <f t="shared" si="96"/>
        <v>0</v>
      </c>
      <c r="AB283" s="568">
        <f t="shared" si="96"/>
        <v>0</v>
      </c>
      <c r="AC283" s="568">
        <f t="shared" si="96"/>
        <v>0</v>
      </c>
      <c r="AD283" s="567"/>
      <c r="AE283" s="567"/>
      <c r="AF283" s="567"/>
      <c r="AG283" s="466"/>
      <c r="AH283" s="466"/>
      <c r="AI283" s="466"/>
      <c r="AJ283" s="466"/>
      <c r="AK283" s="466"/>
      <c r="AL283" s="466"/>
      <c r="AM283" s="466"/>
      <c r="AY283" s="476"/>
    </row>
    <row r="284" spans="2:51" s="458" customFormat="1" ht="15" hidden="1">
      <c r="B284" s="443" t="s">
        <v>79</v>
      </c>
      <c r="C284" s="446" t="e">
        <f t="shared" ref="C284:AC284" si="97">C248+C272+C279</f>
        <v>#REF!</v>
      </c>
      <c r="D284" s="446" t="e">
        <f t="shared" si="97"/>
        <v>#REF!</v>
      </c>
      <c r="E284" s="446" t="e">
        <f t="shared" si="97"/>
        <v>#REF!</v>
      </c>
      <c r="F284" s="446" t="e">
        <f t="shared" si="97"/>
        <v>#REF!</v>
      </c>
      <c r="G284" s="446" t="e">
        <f t="shared" si="97"/>
        <v>#REF!</v>
      </c>
      <c r="H284" s="568" t="e">
        <f t="shared" si="97"/>
        <v>#REF!</v>
      </c>
      <c r="I284" s="568" t="e">
        <f t="shared" si="97"/>
        <v>#REF!</v>
      </c>
      <c r="J284" s="568" t="e">
        <f t="shared" si="97"/>
        <v>#REF!</v>
      </c>
      <c r="K284" s="568" t="e">
        <f t="shared" si="97"/>
        <v>#REF!</v>
      </c>
      <c r="L284" s="568" t="e">
        <f t="shared" si="97"/>
        <v>#REF!</v>
      </c>
      <c r="M284" s="568" t="e">
        <f t="shared" si="97"/>
        <v>#REF!</v>
      </c>
      <c r="N284" s="568" t="e">
        <f t="shared" si="97"/>
        <v>#REF!</v>
      </c>
      <c r="O284" s="568" t="e">
        <f t="shared" si="97"/>
        <v>#REF!</v>
      </c>
      <c r="P284" s="568" t="e">
        <f t="shared" si="97"/>
        <v>#REF!</v>
      </c>
      <c r="Q284" s="568" t="e">
        <f t="shared" si="97"/>
        <v>#REF!</v>
      </c>
      <c r="R284" s="568" t="e">
        <f t="shared" si="97"/>
        <v>#REF!</v>
      </c>
      <c r="S284" s="568" t="e">
        <f t="shared" si="97"/>
        <v>#REF!</v>
      </c>
      <c r="T284" s="568" t="e">
        <f t="shared" si="97"/>
        <v>#REF!</v>
      </c>
      <c r="U284" s="568" t="e">
        <f t="shared" si="97"/>
        <v>#REF!</v>
      </c>
      <c r="V284" s="568" t="e">
        <f t="shared" si="97"/>
        <v>#REF!</v>
      </c>
      <c r="W284" s="568" t="e">
        <f t="shared" si="97"/>
        <v>#REF!</v>
      </c>
      <c r="X284" s="568" t="e">
        <f t="shared" si="97"/>
        <v>#REF!</v>
      </c>
      <c r="Y284" s="568" t="e">
        <f t="shared" si="97"/>
        <v>#REF!</v>
      </c>
      <c r="Z284" s="568" t="e">
        <f t="shared" si="97"/>
        <v>#REF!</v>
      </c>
      <c r="AA284" s="568" t="e">
        <f t="shared" si="97"/>
        <v>#REF!</v>
      </c>
      <c r="AB284" s="568" t="e">
        <f t="shared" si="97"/>
        <v>#REF!</v>
      </c>
      <c r="AC284" s="568" t="e">
        <f t="shared" si="97"/>
        <v>#REF!</v>
      </c>
      <c r="AD284" s="567"/>
      <c r="AE284" s="567"/>
      <c r="AF284" s="567"/>
      <c r="AG284" s="466"/>
      <c r="AH284" s="466"/>
      <c r="AI284" s="466"/>
      <c r="AJ284" s="466"/>
      <c r="AK284" s="466"/>
      <c r="AL284" s="466"/>
      <c r="AM284" s="466"/>
      <c r="AY284" s="476"/>
    </row>
    <row r="285" spans="2:51" s="458" customFormat="1" ht="15" hidden="1">
      <c r="B285" s="443" t="s">
        <v>80</v>
      </c>
      <c r="C285" s="447" t="e">
        <f>SUM(C284:AC284)-$C$162</f>
        <v>#REF!</v>
      </c>
      <c r="D285" s="446"/>
      <c r="E285" s="446"/>
      <c r="F285" s="446"/>
      <c r="G285" s="446"/>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7"/>
      <c r="AE285" s="567"/>
      <c r="AF285" s="567"/>
      <c r="AG285" s="466"/>
      <c r="AH285" s="466"/>
      <c r="AI285" s="466"/>
      <c r="AJ285" s="466"/>
      <c r="AK285" s="466"/>
      <c r="AL285" s="466"/>
      <c r="AM285" s="466"/>
      <c r="AY285" s="476"/>
    </row>
    <row r="286" spans="2:51" s="458" customFormat="1" ht="15" hidden="1">
      <c r="B286" s="443"/>
      <c r="C286" s="446"/>
      <c r="D286" s="446"/>
      <c r="E286" s="446"/>
      <c r="F286" s="446"/>
      <c r="G286" s="446"/>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7"/>
      <c r="AE286" s="567"/>
      <c r="AF286" s="567"/>
      <c r="AG286" s="466"/>
      <c r="AH286" s="466"/>
      <c r="AI286" s="466"/>
      <c r="AJ286" s="466"/>
      <c r="AK286" s="466"/>
      <c r="AL286" s="466"/>
      <c r="AM286" s="466"/>
      <c r="AY286" s="476"/>
    </row>
    <row r="287" spans="2:51" s="458" customFormat="1" ht="15" hidden="1">
      <c r="B287" s="443" t="s">
        <v>81</v>
      </c>
      <c r="C287" s="446">
        <f t="shared" ref="C287:AC287" si="98">C248</f>
        <v>0</v>
      </c>
      <c r="D287" s="446">
        <f t="shared" si="98"/>
        <v>0</v>
      </c>
      <c r="E287" s="446">
        <f t="shared" si="98"/>
        <v>0</v>
      </c>
      <c r="F287" s="446">
        <f t="shared" si="98"/>
        <v>0</v>
      </c>
      <c r="G287" s="446">
        <f t="shared" si="98"/>
        <v>0</v>
      </c>
      <c r="H287" s="568">
        <f t="shared" si="98"/>
        <v>0</v>
      </c>
      <c r="I287" s="568">
        <f t="shared" si="98"/>
        <v>0</v>
      </c>
      <c r="J287" s="568">
        <f t="shared" si="98"/>
        <v>0</v>
      </c>
      <c r="K287" s="568">
        <f t="shared" si="98"/>
        <v>0</v>
      </c>
      <c r="L287" s="568">
        <f t="shared" si="98"/>
        <v>0</v>
      </c>
      <c r="M287" s="568">
        <f t="shared" si="98"/>
        <v>0</v>
      </c>
      <c r="N287" s="568">
        <f t="shared" si="98"/>
        <v>0</v>
      </c>
      <c r="O287" s="568">
        <f t="shared" si="98"/>
        <v>0</v>
      </c>
      <c r="P287" s="568">
        <f t="shared" si="98"/>
        <v>0</v>
      </c>
      <c r="Q287" s="568">
        <f t="shared" si="98"/>
        <v>0</v>
      </c>
      <c r="R287" s="568">
        <f t="shared" si="98"/>
        <v>0</v>
      </c>
      <c r="S287" s="568">
        <f t="shared" si="98"/>
        <v>0</v>
      </c>
      <c r="T287" s="568">
        <f t="shared" si="98"/>
        <v>0</v>
      </c>
      <c r="U287" s="568">
        <f t="shared" si="98"/>
        <v>0</v>
      </c>
      <c r="V287" s="568">
        <f t="shared" si="98"/>
        <v>0</v>
      </c>
      <c r="W287" s="568">
        <f t="shared" si="98"/>
        <v>0</v>
      </c>
      <c r="X287" s="568">
        <f t="shared" si="98"/>
        <v>0</v>
      </c>
      <c r="Y287" s="568">
        <f t="shared" si="98"/>
        <v>0</v>
      </c>
      <c r="Z287" s="568">
        <f t="shared" si="98"/>
        <v>0</v>
      </c>
      <c r="AA287" s="568">
        <f t="shared" si="98"/>
        <v>0</v>
      </c>
      <c r="AB287" s="568">
        <f t="shared" si="98"/>
        <v>0</v>
      </c>
      <c r="AC287" s="568">
        <f t="shared" si="98"/>
        <v>0</v>
      </c>
      <c r="AD287" s="567"/>
      <c r="AE287" s="567"/>
      <c r="AF287" s="567"/>
      <c r="AG287" s="466"/>
      <c r="AH287" s="466"/>
      <c r="AI287" s="466"/>
      <c r="AJ287" s="466"/>
      <c r="AK287" s="466"/>
      <c r="AL287" s="466"/>
      <c r="AM287" s="466"/>
      <c r="AY287" s="476"/>
    </row>
    <row r="288" spans="2:51" s="458" customFormat="1" ht="15" hidden="1">
      <c r="B288" s="443" t="s">
        <v>82</v>
      </c>
      <c r="C288" s="448" t="e">
        <f>C284</f>
        <v>#REF!</v>
      </c>
      <c r="D288" s="448" t="e">
        <f t="shared" ref="D288:AC288" si="99">D284</f>
        <v>#REF!</v>
      </c>
      <c r="E288" s="448" t="e">
        <f t="shared" si="99"/>
        <v>#REF!</v>
      </c>
      <c r="F288" s="448" t="e">
        <f t="shared" si="99"/>
        <v>#REF!</v>
      </c>
      <c r="G288" s="448" t="e">
        <f t="shared" si="99"/>
        <v>#REF!</v>
      </c>
      <c r="H288" s="569" t="e">
        <f t="shared" si="99"/>
        <v>#REF!</v>
      </c>
      <c r="I288" s="569" t="e">
        <f t="shared" si="99"/>
        <v>#REF!</v>
      </c>
      <c r="J288" s="569" t="e">
        <f t="shared" si="99"/>
        <v>#REF!</v>
      </c>
      <c r="K288" s="569" t="e">
        <f t="shared" si="99"/>
        <v>#REF!</v>
      </c>
      <c r="L288" s="569" t="e">
        <f t="shared" si="99"/>
        <v>#REF!</v>
      </c>
      <c r="M288" s="569" t="e">
        <f t="shared" si="99"/>
        <v>#REF!</v>
      </c>
      <c r="N288" s="569" t="e">
        <f t="shared" si="99"/>
        <v>#REF!</v>
      </c>
      <c r="O288" s="569" t="e">
        <f t="shared" si="99"/>
        <v>#REF!</v>
      </c>
      <c r="P288" s="569" t="e">
        <f t="shared" si="99"/>
        <v>#REF!</v>
      </c>
      <c r="Q288" s="569" t="e">
        <f t="shared" si="99"/>
        <v>#REF!</v>
      </c>
      <c r="R288" s="569" t="e">
        <f t="shared" si="99"/>
        <v>#REF!</v>
      </c>
      <c r="S288" s="569" t="e">
        <f t="shared" si="99"/>
        <v>#REF!</v>
      </c>
      <c r="T288" s="569" t="e">
        <f t="shared" si="99"/>
        <v>#REF!</v>
      </c>
      <c r="U288" s="569" t="e">
        <f t="shared" si="99"/>
        <v>#REF!</v>
      </c>
      <c r="V288" s="569" t="e">
        <f t="shared" si="99"/>
        <v>#REF!</v>
      </c>
      <c r="W288" s="569" t="e">
        <f t="shared" si="99"/>
        <v>#REF!</v>
      </c>
      <c r="X288" s="569" t="e">
        <f t="shared" si="99"/>
        <v>#REF!</v>
      </c>
      <c r="Y288" s="569" t="e">
        <f t="shared" si="99"/>
        <v>#REF!</v>
      </c>
      <c r="Z288" s="569" t="e">
        <f t="shared" si="99"/>
        <v>#REF!</v>
      </c>
      <c r="AA288" s="569" t="e">
        <f t="shared" si="99"/>
        <v>#REF!</v>
      </c>
      <c r="AB288" s="569" t="e">
        <f t="shared" si="99"/>
        <v>#REF!</v>
      </c>
      <c r="AC288" s="569" t="e">
        <f t="shared" si="99"/>
        <v>#REF!</v>
      </c>
      <c r="AD288" s="570"/>
      <c r="AE288" s="570"/>
      <c r="AF288" s="570"/>
      <c r="AG288" s="466"/>
      <c r="AH288" s="466"/>
      <c r="AI288" s="466"/>
      <c r="AJ288" s="466"/>
      <c r="AK288" s="466"/>
      <c r="AL288" s="466"/>
      <c r="AM288" s="466"/>
      <c r="AY288" s="476"/>
    </row>
    <row r="289" spans="2:51" ht="15" hidden="1">
      <c r="B289" s="443" t="s">
        <v>83</v>
      </c>
      <c r="C289" s="446" t="e">
        <f>C288-C287</f>
        <v>#REF!</v>
      </c>
      <c r="D289" s="446" t="e">
        <f t="shared" ref="D289:AC289" si="100">D288-D287</f>
        <v>#REF!</v>
      </c>
      <c r="E289" s="446" t="e">
        <f t="shared" si="100"/>
        <v>#REF!</v>
      </c>
      <c r="F289" s="446" t="e">
        <f t="shared" si="100"/>
        <v>#REF!</v>
      </c>
      <c r="G289" s="446" t="e">
        <f t="shared" si="100"/>
        <v>#REF!</v>
      </c>
      <c r="H289" s="568" t="e">
        <f t="shared" si="100"/>
        <v>#REF!</v>
      </c>
      <c r="I289" s="568" t="e">
        <f t="shared" si="100"/>
        <v>#REF!</v>
      </c>
      <c r="J289" s="568" t="e">
        <f t="shared" si="100"/>
        <v>#REF!</v>
      </c>
      <c r="K289" s="568" t="e">
        <f t="shared" si="100"/>
        <v>#REF!</v>
      </c>
      <c r="L289" s="568" t="e">
        <f t="shared" si="100"/>
        <v>#REF!</v>
      </c>
      <c r="M289" s="568" t="e">
        <f t="shared" si="100"/>
        <v>#REF!</v>
      </c>
      <c r="N289" s="568" t="e">
        <f t="shared" si="100"/>
        <v>#REF!</v>
      </c>
      <c r="O289" s="568" t="e">
        <f t="shared" si="100"/>
        <v>#REF!</v>
      </c>
      <c r="P289" s="568" t="e">
        <f t="shared" si="100"/>
        <v>#REF!</v>
      </c>
      <c r="Q289" s="568" t="e">
        <f t="shared" si="100"/>
        <v>#REF!</v>
      </c>
      <c r="R289" s="568" t="e">
        <f t="shared" si="100"/>
        <v>#REF!</v>
      </c>
      <c r="S289" s="568" t="e">
        <f t="shared" si="100"/>
        <v>#REF!</v>
      </c>
      <c r="T289" s="568" t="e">
        <f t="shared" si="100"/>
        <v>#REF!</v>
      </c>
      <c r="U289" s="568" t="e">
        <f t="shared" si="100"/>
        <v>#REF!</v>
      </c>
      <c r="V289" s="568" t="e">
        <f t="shared" si="100"/>
        <v>#REF!</v>
      </c>
      <c r="W289" s="568" t="e">
        <f t="shared" si="100"/>
        <v>#REF!</v>
      </c>
      <c r="X289" s="568" t="e">
        <f t="shared" si="100"/>
        <v>#REF!</v>
      </c>
      <c r="Y289" s="568" t="e">
        <f t="shared" si="100"/>
        <v>#REF!</v>
      </c>
      <c r="Z289" s="568" t="e">
        <f t="shared" si="100"/>
        <v>#REF!</v>
      </c>
      <c r="AA289" s="568" t="e">
        <f t="shared" si="100"/>
        <v>#REF!</v>
      </c>
      <c r="AB289" s="568" t="e">
        <f t="shared" si="100"/>
        <v>#REF!</v>
      </c>
      <c r="AC289" s="568" t="e">
        <f t="shared" si="100"/>
        <v>#REF!</v>
      </c>
      <c r="AD289" s="567"/>
      <c r="AE289" s="567"/>
      <c r="AF289" s="567"/>
      <c r="AY289" s="477"/>
    </row>
    <row r="290" spans="2:51" ht="15" hidden="1">
      <c r="B290" s="443" t="s">
        <v>80</v>
      </c>
      <c r="C290" s="447" t="e">
        <f>SUM(C289:AC289)</f>
        <v>#REF!</v>
      </c>
      <c r="D290" s="446"/>
      <c r="E290" s="446"/>
      <c r="F290" s="446"/>
      <c r="G290" s="446"/>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7"/>
      <c r="AE290" s="567"/>
      <c r="AF290" s="567"/>
      <c r="AY290" s="477"/>
    </row>
    <row r="291" spans="2:51" ht="15" hidden="1">
      <c r="B291" s="130"/>
      <c r="C291" s="439"/>
      <c r="D291" s="147"/>
      <c r="E291" s="147"/>
      <c r="F291" s="147"/>
      <c r="G291" s="147"/>
      <c r="H291" s="479"/>
      <c r="I291" s="479"/>
      <c r="J291" s="479"/>
      <c r="K291" s="479"/>
      <c r="L291" s="479"/>
      <c r="M291" s="479"/>
      <c r="N291" s="479"/>
      <c r="O291" s="479"/>
      <c r="P291" s="479"/>
      <c r="Q291" s="479"/>
      <c r="R291" s="479"/>
      <c r="S291" s="479"/>
      <c r="T291" s="479"/>
      <c r="U291" s="479"/>
      <c r="V291" s="479"/>
      <c r="W291" s="479"/>
      <c r="X291" s="479"/>
      <c r="Y291" s="479"/>
      <c r="Z291" s="479"/>
      <c r="AA291" s="479"/>
      <c r="AB291" s="479"/>
      <c r="AC291" s="479"/>
      <c r="AY291" s="477"/>
    </row>
    <row r="292" spans="2:51" ht="15" hidden="1">
      <c r="B292" s="443" t="s">
        <v>65</v>
      </c>
      <c r="C292" s="444">
        <f t="shared" ref="C292:AB292" si="101">HLOOKUP(C265,$C$170:$AC$170,1,TRUE)+1</f>
        <v>1</v>
      </c>
      <c r="D292" s="444">
        <f t="shared" si="101"/>
        <v>3769</v>
      </c>
      <c r="E292" s="444">
        <f t="shared" si="101"/>
        <v>4523</v>
      </c>
      <c r="F292" s="444">
        <f t="shared" si="101"/>
        <v>5277</v>
      </c>
      <c r="G292" s="444">
        <f t="shared" si="101"/>
        <v>6784</v>
      </c>
      <c r="H292" s="566">
        <f t="shared" si="101"/>
        <v>7538</v>
      </c>
      <c r="I292" s="566">
        <f t="shared" si="101"/>
        <v>8291</v>
      </c>
      <c r="J292" s="566">
        <f t="shared" si="101"/>
        <v>9798</v>
      </c>
      <c r="K292" s="566">
        <f t="shared" si="101"/>
        <v>10552</v>
      </c>
      <c r="L292" s="566">
        <f t="shared" si="101"/>
        <v>11306</v>
      </c>
      <c r="M292" s="566">
        <f t="shared" si="101"/>
        <v>12813</v>
      </c>
      <c r="N292" s="566">
        <f t="shared" si="101"/>
        <v>13567</v>
      </c>
      <c r="O292" s="566">
        <f t="shared" si="101"/>
        <v>14320</v>
      </c>
      <c r="P292" s="566">
        <f t="shared" si="101"/>
        <v>15828</v>
      </c>
      <c r="Q292" s="566">
        <f t="shared" si="101"/>
        <v>16581</v>
      </c>
      <c r="R292" s="566">
        <f t="shared" si="101"/>
        <v>17335</v>
      </c>
      <c r="S292" s="566">
        <f t="shared" si="101"/>
        <v>18842</v>
      </c>
      <c r="T292" s="566">
        <f t="shared" si="101"/>
        <v>18842</v>
      </c>
      <c r="U292" s="566">
        <f t="shared" si="101"/>
        <v>18842</v>
      </c>
      <c r="V292" s="566">
        <f t="shared" si="101"/>
        <v>18842</v>
      </c>
      <c r="W292" s="566">
        <f t="shared" si="101"/>
        <v>18842</v>
      </c>
      <c r="X292" s="566">
        <f t="shared" si="101"/>
        <v>18842</v>
      </c>
      <c r="Y292" s="566">
        <f t="shared" si="101"/>
        <v>18842</v>
      </c>
      <c r="Z292" s="566">
        <f t="shared" si="101"/>
        <v>18842</v>
      </c>
      <c r="AA292" s="566">
        <f t="shared" si="101"/>
        <v>18842</v>
      </c>
      <c r="AB292" s="566">
        <f t="shared" si="101"/>
        <v>18842</v>
      </c>
      <c r="AC292" s="566">
        <f>AC256</f>
        <v>31160</v>
      </c>
      <c r="AD292" s="567"/>
      <c r="AE292" s="567"/>
      <c r="AF292" s="567"/>
      <c r="AY292" s="477"/>
    </row>
    <row r="293" spans="2:51" ht="15" hidden="1">
      <c r="B293" s="443"/>
      <c r="C293" s="444" t="s">
        <v>59</v>
      </c>
      <c r="D293" s="444" t="s">
        <v>59</v>
      </c>
      <c r="E293" s="444" t="s">
        <v>59</v>
      </c>
      <c r="F293" s="444" t="s">
        <v>59</v>
      </c>
      <c r="G293" s="444" t="s">
        <v>59</v>
      </c>
      <c r="H293" s="566" t="s">
        <v>59</v>
      </c>
      <c r="I293" s="566" t="s">
        <v>59</v>
      </c>
      <c r="J293" s="566" t="s">
        <v>59</v>
      </c>
      <c r="K293" s="566" t="s">
        <v>59</v>
      </c>
      <c r="L293" s="566" t="s">
        <v>59</v>
      </c>
      <c r="M293" s="566" t="s">
        <v>59</v>
      </c>
      <c r="N293" s="566" t="s">
        <v>59</v>
      </c>
      <c r="O293" s="566" t="s">
        <v>59</v>
      </c>
      <c r="P293" s="566" t="s">
        <v>59</v>
      </c>
      <c r="Q293" s="566" t="s">
        <v>59</v>
      </c>
      <c r="R293" s="566" t="s">
        <v>59</v>
      </c>
      <c r="S293" s="566" t="s">
        <v>59</v>
      </c>
      <c r="T293" s="566" t="s">
        <v>59</v>
      </c>
      <c r="U293" s="566" t="s">
        <v>59</v>
      </c>
      <c r="V293" s="566" t="s">
        <v>59</v>
      </c>
      <c r="W293" s="566" t="s">
        <v>59</v>
      </c>
      <c r="X293" s="566" t="s">
        <v>59</v>
      </c>
      <c r="Y293" s="566" t="s">
        <v>59</v>
      </c>
      <c r="Z293" s="566" t="s">
        <v>59</v>
      </c>
      <c r="AA293" s="566" t="s">
        <v>59</v>
      </c>
      <c r="AB293" s="566" t="s">
        <v>59</v>
      </c>
      <c r="AC293" s="566" t="s">
        <v>59</v>
      </c>
      <c r="AD293" s="567"/>
      <c r="AE293" s="567"/>
      <c r="AF293" s="567"/>
      <c r="AY293" s="477"/>
    </row>
    <row r="294" spans="2:51" ht="15" hidden="1">
      <c r="B294" s="443" t="s">
        <v>51</v>
      </c>
      <c r="C294" s="444">
        <f>HLOOKUP(C292,$C$168:$AC$172,3,FALSE)</f>
        <v>1017</v>
      </c>
      <c r="D294" s="444">
        <f t="shared" ref="D294:AC294" si="102">HLOOKUP(D292,$C$168:$AC$172,3,FALSE)</f>
        <v>4522</v>
      </c>
      <c r="E294" s="444">
        <f t="shared" si="102"/>
        <v>5276</v>
      </c>
      <c r="F294" s="444">
        <f t="shared" si="102"/>
        <v>6029</v>
      </c>
      <c r="G294" s="444">
        <f t="shared" si="102"/>
        <v>7537</v>
      </c>
      <c r="H294" s="566">
        <f t="shared" si="102"/>
        <v>8290</v>
      </c>
      <c r="I294" s="566">
        <f t="shared" si="102"/>
        <v>9044</v>
      </c>
      <c r="J294" s="566">
        <f t="shared" si="102"/>
        <v>10551</v>
      </c>
      <c r="K294" s="566">
        <f t="shared" si="102"/>
        <v>11305</v>
      </c>
      <c r="L294" s="566">
        <f t="shared" si="102"/>
        <v>12058</v>
      </c>
      <c r="M294" s="566">
        <f t="shared" si="102"/>
        <v>13566</v>
      </c>
      <c r="N294" s="566">
        <f t="shared" si="102"/>
        <v>14319</v>
      </c>
      <c r="O294" s="566">
        <f t="shared" si="102"/>
        <v>15073</v>
      </c>
      <c r="P294" s="566">
        <f t="shared" si="102"/>
        <v>16580</v>
      </c>
      <c r="Q294" s="566">
        <f t="shared" si="102"/>
        <v>17334</v>
      </c>
      <c r="R294" s="566">
        <f t="shared" si="102"/>
        <v>18088</v>
      </c>
      <c r="S294" s="566">
        <f t="shared" si="102"/>
        <v>41086</v>
      </c>
      <c r="T294" s="566">
        <f t="shared" si="102"/>
        <v>41086</v>
      </c>
      <c r="U294" s="566">
        <f t="shared" si="102"/>
        <v>41086</v>
      </c>
      <c r="V294" s="566">
        <f t="shared" si="102"/>
        <v>41086</v>
      </c>
      <c r="W294" s="566">
        <f t="shared" si="102"/>
        <v>41086</v>
      </c>
      <c r="X294" s="566">
        <f t="shared" si="102"/>
        <v>41086</v>
      </c>
      <c r="Y294" s="566">
        <f t="shared" si="102"/>
        <v>41086</v>
      </c>
      <c r="Z294" s="566">
        <f t="shared" si="102"/>
        <v>41086</v>
      </c>
      <c r="AA294" s="566">
        <f t="shared" si="102"/>
        <v>41086</v>
      </c>
      <c r="AB294" s="566">
        <f t="shared" si="102"/>
        <v>41086</v>
      </c>
      <c r="AC294" s="566" t="e">
        <f t="shared" si="102"/>
        <v>#N/A</v>
      </c>
      <c r="AD294" s="567"/>
      <c r="AE294" s="567"/>
      <c r="AF294" s="567"/>
      <c r="AY294" s="477"/>
    </row>
    <row r="295" spans="2:51" ht="15" hidden="1">
      <c r="B295" s="443" t="s">
        <v>52</v>
      </c>
      <c r="C295" s="444" t="e">
        <f t="shared" ref="C295:AC295" si="103">HLOOKUP(C292+1,$C$168:$AC$172,4,FALSE)</f>
        <v>#N/A</v>
      </c>
      <c r="D295" s="444" t="e">
        <f t="shared" si="103"/>
        <v>#N/A</v>
      </c>
      <c r="E295" s="444" t="e">
        <f t="shared" si="103"/>
        <v>#N/A</v>
      </c>
      <c r="F295" s="444" t="e">
        <f t="shared" si="103"/>
        <v>#N/A</v>
      </c>
      <c r="G295" s="444" t="e">
        <f t="shared" si="103"/>
        <v>#N/A</v>
      </c>
      <c r="H295" s="566" t="e">
        <f t="shared" si="103"/>
        <v>#N/A</v>
      </c>
      <c r="I295" s="566" t="e">
        <f t="shared" si="103"/>
        <v>#N/A</v>
      </c>
      <c r="J295" s="566" t="e">
        <f t="shared" si="103"/>
        <v>#N/A</v>
      </c>
      <c r="K295" s="566" t="e">
        <f t="shared" si="103"/>
        <v>#N/A</v>
      </c>
      <c r="L295" s="566" t="e">
        <f t="shared" si="103"/>
        <v>#N/A</v>
      </c>
      <c r="M295" s="566" t="e">
        <f t="shared" si="103"/>
        <v>#N/A</v>
      </c>
      <c r="N295" s="566" t="e">
        <f t="shared" si="103"/>
        <v>#N/A</v>
      </c>
      <c r="O295" s="566" t="e">
        <f t="shared" si="103"/>
        <v>#N/A</v>
      </c>
      <c r="P295" s="566" t="e">
        <f t="shared" si="103"/>
        <v>#N/A</v>
      </c>
      <c r="Q295" s="566" t="e">
        <f t="shared" si="103"/>
        <v>#N/A</v>
      </c>
      <c r="R295" s="566" t="e">
        <f t="shared" si="103"/>
        <v>#N/A</v>
      </c>
      <c r="S295" s="566" t="e">
        <f t="shared" si="103"/>
        <v>#N/A</v>
      </c>
      <c r="T295" s="566" t="e">
        <f t="shared" si="103"/>
        <v>#N/A</v>
      </c>
      <c r="U295" s="566" t="e">
        <f t="shared" si="103"/>
        <v>#N/A</v>
      </c>
      <c r="V295" s="566" t="e">
        <f t="shared" si="103"/>
        <v>#N/A</v>
      </c>
      <c r="W295" s="566" t="e">
        <f t="shared" si="103"/>
        <v>#N/A</v>
      </c>
      <c r="X295" s="566" t="e">
        <f t="shared" si="103"/>
        <v>#N/A</v>
      </c>
      <c r="Y295" s="566" t="e">
        <f t="shared" si="103"/>
        <v>#N/A</v>
      </c>
      <c r="Z295" s="566" t="e">
        <f t="shared" si="103"/>
        <v>#N/A</v>
      </c>
      <c r="AA295" s="566" t="e">
        <f t="shared" si="103"/>
        <v>#N/A</v>
      </c>
      <c r="AB295" s="566" t="e">
        <f t="shared" si="103"/>
        <v>#N/A</v>
      </c>
      <c r="AC295" s="566" t="e">
        <f t="shared" si="103"/>
        <v>#N/A</v>
      </c>
      <c r="AD295" s="567"/>
      <c r="AE295" s="567"/>
      <c r="AF295" s="567"/>
      <c r="AY295" s="477"/>
    </row>
    <row r="296" spans="2:51" ht="15" hidden="1">
      <c r="B296" s="443" t="s">
        <v>63</v>
      </c>
      <c r="C296" s="444">
        <f>ROUNDUP(C292,-3)</f>
        <v>1000</v>
      </c>
      <c r="D296" s="444">
        <f>ROUNDUP(D292,-3)</f>
        <v>4000</v>
      </c>
      <c r="E296" s="444">
        <f>ROUNDUP(E292,-3)</f>
        <v>5000</v>
      </c>
      <c r="F296" s="444">
        <f>ROUNDUP(F292,-3)</f>
        <v>6000</v>
      </c>
      <c r="G296" s="444">
        <f>ROUNDUP(G292,-3)</f>
        <v>7000</v>
      </c>
      <c r="H296" s="566">
        <f t="shared" ref="H296:AC296" si="104">ROUNDUP(H292,-3)</f>
        <v>8000</v>
      </c>
      <c r="I296" s="566">
        <f t="shared" si="104"/>
        <v>9000</v>
      </c>
      <c r="J296" s="566">
        <f t="shared" si="104"/>
        <v>10000</v>
      </c>
      <c r="K296" s="566">
        <f t="shared" si="104"/>
        <v>11000</v>
      </c>
      <c r="L296" s="566">
        <f t="shared" si="104"/>
        <v>12000</v>
      </c>
      <c r="M296" s="566">
        <f t="shared" si="104"/>
        <v>13000</v>
      </c>
      <c r="N296" s="566">
        <f t="shared" si="104"/>
        <v>14000</v>
      </c>
      <c r="O296" s="566">
        <f t="shared" si="104"/>
        <v>15000</v>
      </c>
      <c r="P296" s="566">
        <f t="shared" si="104"/>
        <v>16000</v>
      </c>
      <c r="Q296" s="566">
        <f t="shared" si="104"/>
        <v>17000</v>
      </c>
      <c r="R296" s="566">
        <f t="shared" si="104"/>
        <v>18000</v>
      </c>
      <c r="S296" s="566">
        <f t="shared" si="104"/>
        <v>19000</v>
      </c>
      <c r="T296" s="566">
        <f t="shared" si="104"/>
        <v>19000</v>
      </c>
      <c r="U296" s="566">
        <f t="shared" si="104"/>
        <v>19000</v>
      </c>
      <c r="V296" s="566">
        <f t="shared" si="104"/>
        <v>19000</v>
      </c>
      <c r="W296" s="566">
        <f t="shared" si="104"/>
        <v>19000</v>
      </c>
      <c r="X296" s="566">
        <f t="shared" si="104"/>
        <v>19000</v>
      </c>
      <c r="Y296" s="566">
        <f t="shared" si="104"/>
        <v>19000</v>
      </c>
      <c r="Z296" s="566">
        <f t="shared" si="104"/>
        <v>19000</v>
      </c>
      <c r="AA296" s="566">
        <f t="shared" si="104"/>
        <v>19000</v>
      </c>
      <c r="AB296" s="566">
        <f t="shared" si="104"/>
        <v>19000</v>
      </c>
      <c r="AC296" s="566">
        <f t="shared" si="104"/>
        <v>32000</v>
      </c>
      <c r="AD296" s="567"/>
      <c r="AE296" s="567"/>
      <c r="AF296" s="567"/>
      <c r="AY296" s="477"/>
    </row>
    <row r="297" spans="2:51" ht="15" hidden="1">
      <c r="B297" s="443" t="s">
        <v>64</v>
      </c>
      <c r="C297" s="446">
        <v>0</v>
      </c>
      <c r="D297" s="449">
        <f t="shared" ref="D297:AC297" si="105">ABS(D264-D292)</f>
        <v>2769</v>
      </c>
      <c r="E297" s="449">
        <f t="shared" si="105"/>
        <v>2523</v>
      </c>
      <c r="F297" s="449">
        <f t="shared" si="105"/>
        <v>2277</v>
      </c>
      <c r="G297" s="449">
        <f t="shared" si="105"/>
        <v>2784</v>
      </c>
      <c r="H297" s="571">
        <f t="shared" si="105"/>
        <v>2538</v>
      </c>
      <c r="I297" s="571">
        <f t="shared" si="105"/>
        <v>2291</v>
      </c>
      <c r="J297" s="571">
        <f t="shared" si="105"/>
        <v>2798</v>
      </c>
      <c r="K297" s="571">
        <f t="shared" si="105"/>
        <v>2552</v>
      </c>
      <c r="L297" s="571">
        <f t="shared" si="105"/>
        <v>2306</v>
      </c>
      <c r="M297" s="571">
        <f t="shared" si="105"/>
        <v>2813</v>
      </c>
      <c r="N297" s="571">
        <f t="shared" si="105"/>
        <v>2567</v>
      </c>
      <c r="O297" s="571">
        <f t="shared" si="105"/>
        <v>2320</v>
      </c>
      <c r="P297" s="571">
        <f t="shared" si="105"/>
        <v>2828</v>
      </c>
      <c r="Q297" s="571">
        <f t="shared" si="105"/>
        <v>2581</v>
      </c>
      <c r="R297" s="571">
        <f t="shared" si="105"/>
        <v>2335</v>
      </c>
      <c r="S297" s="571">
        <f t="shared" si="105"/>
        <v>2842</v>
      </c>
      <c r="T297" s="571">
        <f t="shared" si="105"/>
        <v>1842</v>
      </c>
      <c r="U297" s="571">
        <f t="shared" si="105"/>
        <v>842</v>
      </c>
      <c r="V297" s="571">
        <f t="shared" si="105"/>
        <v>158</v>
      </c>
      <c r="W297" s="571">
        <f t="shared" si="105"/>
        <v>1158</v>
      </c>
      <c r="X297" s="571">
        <f t="shared" si="105"/>
        <v>2158</v>
      </c>
      <c r="Y297" s="571">
        <f t="shared" si="105"/>
        <v>3158</v>
      </c>
      <c r="Z297" s="571">
        <f t="shared" si="105"/>
        <v>4158</v>
      </c>
      <c r="AA297" s="571">
        <f t="shared" si="105"/>
        <v>5158</v>
      </c>
      <c r="AB297" s="571">
        <f t="shared" si="105"/>
        <v>6158</v>
      </c>
      <c r="AC297" s="571">
        <f t="shared" si="105"/>
        <v>36786</v>
      </c>
      <c r="AD297" s="567"/>
      <c r="AE297" s="567"/>
      <c r="AF297" s="567"/>
      <c r="AY297" s="477"/>
    </row>
    <row r="298" spans="2:51" ht="15" hidden="1">
      <c r="B298" s="443" t="s">
        <v>54</v>
      </c>
      <c r="C298" s="446" t="e">
        <f t="shared" ref="C298:AC298" si="106">ROUND(C297*C295,0)</f>
        <v>#N/A</v>
      </c>
      <c r="D298" s="446" t="e">
        <f t="shared" si="106"/>
        <v>#N/A</v>
      </c>
      <c r="E298" s="446" t="e">
        <f t="shared" si="106"/>
        <v>#N/A</v>
      </c>
      <c r="F298" s="446" t="e">
        <f t="shared" si="106"/>
        <v>#N/A</v>
      </c>
      <c r="G298" s="446" t="e">
        <f t="shared" si="106"/>
        <v>#N/A</v>
      </c>
      <c r="H298" s="568" t="e">
        <f t="shared" si="106"/>
        <v>#N/A</v>
      </c>
      <c r="I298" s="568" t="e">
        <f t="shared" si="106"/>
        <v>#N/A</v>
      </c>
      <c r="J298" s="568" t="e">
        <f t="shared" si="106"/>
        <v>#N/A</v>
      </c>
      <c r="K298" s="568" t="e">
        <f t="shared" si="106"/>
        <v>#N/A</v>
      </c>
      <c r="L298" s="568" t="e">
        <f t="shared" si="106"/>
        <v>#N/A</v>
      </c>
      <c r="M298" s="568" t="e">
        <f t="shared" si="106"/>
        <v>#N/A</v>
      </c>
      <c r="N298" s="568" t="e">
        <f t="shared" si="106"/>
        <v>#N/A</v>
      </c>
      <c r="O298" s="568" t="e">
        <f t="shared" si="106"/>
        <v>#N/A</v>
      </c>
      <c r="P298" s="568" t="e">
        <f t="shared" si="106"/>
        <v>#N/A</v>
      </c>
      <c r="Q298" s="568" t="e">
        <f t="shared" si="106"/>
        <v>#N/A</v>
      </c>
      <c r="R298" s="568" t="e">
        <f t="shared" si="106"/>
        <v>#N/A</v>
      </c>
      <c r="S298" s="568" t="e">
        <f t="shared" si="106"/>
        <v>#N/A</v>
      </c>
      <c r="T298" s="568" t="e">
        <f t="shared" si="106"/>
        <v>#N/A</v>
      </c>
      <c r="U298" s="568" t="e">
        <f t="shared" si="106"/>
        <v>#N/A</v>
      </c>
      <c r="V298" s="568" t="e">
        <f t="shared" si="106"/>
        <v>#N/A</v>
      </c>
      <c r="W298" s="568" t="e">
        <f t="shared" si="106"/>
        <v>#N/A</v>
      </c>
      <c r="X298" s="568" t="e">
        <f t="shared" si="106"/>
        <v>#N/A</v>
      </c>
      <c r="Y298" s="568" t="e">
        <f t="shared" si="106"/>
        <v>#N/A</v>
      </c>
      <c r="Z298" s="568" t="e">
        <f t="shared" si="106"/>
        <v>#N/A</v>
      </c>
      <c r="AA298" s="568" t="e">
        <f t="shared" si="106"/>
        <v>#N/A</v>
      </c>
      <c r="AB298" s="568" t="e">
        <f t="shared" si="106"/>
        <v>#N/A</v>
      </c>
      <c r="AC298" s="568" t="e">
        <f t="shared" si="106"/>
        <v>#N/A</v>
      </c>
      <c r="AD298" s="567"/>
      <c r="AE298" s="567"/>
      <c r="AF298" s="567"/>
      <c r="AY298" s="477"/>
    </row>
    <row r="299" spans="2:51" ht="15" hidden="1">
      <c r="B299" s="443" t="s">
        <v>57</v>
      </c>
      <c r="C299" s="446">
        <f>C248</f>
        <v>0</v>
      </c>
      <c r="D299" s="446" t="e">
        <f t="shared" ref="D299:AC299" si="107">IF(D264=D296,D248+D298-C298,D248+D298)</f>
        <v>#N/A</v>
      </c>
      <c r="E299" s="446" t="e">
        <f t="shared" si="107"/>
        <v>#N/A</v>
      </c>
      <c r="F299" s="446" t="e">
        <f t="shared" si="107"/>
        <v>#N/A</v>
      </c>
      <c r="G299" s="446" t="e">
        <f t="shared" si="107"/>
        <v>#N/A</v>
      </c>
      <c r="H299" s="568" t="e">
        <f t="shared" si="107"/>
        <v>#N/A</v>
      </c>
      <c r="I299" s="568" t="e">
        <f t="shared" si="107"/>
        <v>#N/A</v>
      </c>
      <c r="J299" s="568" t="e">
        <f t="shared" si="107"/>
        <v>#N/A</v>
      </c>
      <c r="K299" s="568" t="e">
        <f t="shared" si="107"/>
        <v>#N/A</v>
      </c>
      <c r="L299" s="568" t="e">
        <f t="shared" si="107"/>
        <v>#N/A</v>
      </c>
      <c r="M299" s="568" t="e">
        <f t="shared" si="107"/>
        <v>#N/A</v>
      </c>
      <c r="N299" s="568" t="e">
        <f t="shared" si="107"/>
        <v>#N/A</v>
      </c>
      <c r="O299" s="568" t="e">
        <f t="shared" si="107"/>
        <v>#N/A</v>
      </c>
      <c r="P299" s="568" t="e">
        <f t="shared" si="107"/>
        <v>#N/A</v>
      </c>
      <c r="Q299" s="568" t="e">
        <f t="shared" si="107"/>
        <v>#N/A</v>
      </c>
      <c r="R299" s="568" t="e">
        <f t="shared" si="107"/>
        <v>#N/A</v>
      </c>
      <c r="S299" s="568" t="e">
        <f t="shared" si="107"/>
        <v>#N/A</v>
      </c>
      <c r="T299" s="568" t="e">
        <f t="shared" si="107"/>
        <v>#N/A</v>
      </c>
      <c r="U299" s="568" t="e">
        <f t="shared" si="107"/>
        <v>#N/A</v>
      </c>
      <c r="V299" s="568" t="e">
        <f t="shared" si="107"/>
        <v>#N/A</v>
      </c>
      <c r="W299" s="568" t="e">
        <f t="shared" si="107"/>
        <v>#N/A</v>
      </c>
      <c r="X299" s="568" t="e">
        <f t="shared" si="107"/>
        <v>#N/A</v>
      </c>
      <c r="Y299" s="568" t="e">
        <f t="shared" si="107"/>
        <v>#N/A</v>
      </c>
      <c r="Z299" s="568" t="e">
        <f t="shared" si="107"/>
        <v>#N/A</v>
      </c>
      <c r="AA299" s="568" t="e">
        <f t="shared" si="107"/>
        <v>#N/A</v>
      </c>
      <c r="AB299" s="568" t="e">
        <f t="shared" si="107"/>
        <v>#N/A</v>
      </c>
      <c r="AC299" s="568" t="e">
        <f t="shared" si="107"/>
        <v>#N/A</v>
      </c>
      <c r="AD299" s="567"/>
      <c r="AE299" s="567"/>
      <c r="AF299" s="567"/>
      <c r="AY299" s="477"/>
    </row>
    <row r="300" spans="2:51" ht="15" hidden="1">
      <c r="B300" s="443" t="s">
        <v>58</v>
      </c>
      <c r="C300" s="446">
        <f>C299</f>
        <v>0</v>
      </c>
      <c r="D300" s="446" t="e">
        <f>D299+C300</f>
        <v>#N/A</v>
      </c>
      <c r="E300" s="446" t="e">
        <f t="shared" ref="E300:J300" si="108">E299+D300</f>
        <v>#N/A</v>
      </c>
      <c r="F300" s="446" t="e">
        <f t="shared" si="108"/>
        <v>#N/A</v>
      </c>
      <c r="G300" s="446" t="e">
        <f t="shared" si="108"/>
        <v>#N/A</v>
      </c>
      <c r="H300" s="568" t="e">
        <f t="shared" si="108"/>
        <v>#N/A</v>
      </c>
      <c r="I300" s="568" t="e">
        <f t="shared" si="108"/>
        <v>#N/A</v>
      </c>
      <c r="J300" s="568" t="e">
        <f t="shared" si="108"/>
        <v>#N/A</v>
      </c>
      <c r="K300" s="568"/>
      <c r="L300" s="568"/>
      <c r="M300" s="568"/>
      <c r="N300" s="568"/>
      <c r="O300" s="568"/>
      <c r="P300" s="568"/>
      <c r="Q300" s="568"/>
      <c r="R300" s="568"/>
      <c r="S300" s="568"/>
      <c r="T300" s="568"/>
      <c r="U300" s="568"/>
      <c r="V300" s="568"/>
      <c r="W300" s="568"/>
      <c r="X300" s="568"/>
      <c r="Y300" s="568"/>
      <c r="Z300" s="568"/>
      <c r="AA300" s="568"/>
      <c r="AB300" s="568"/>
      <c r="AC300" s="568"/>
      <c r="AD300" s="567"/>
      <c r="AE300" s="567"/>
      <c r="AF300" s="567"/>
      <c r="AY300" s="477"/>
    </row>
    <row r="301" spans="2:51" ht="15" hidden="1">
      <c r="B301" s="443"/>
      <c r="C301" s="446"/>
      <c r="D301" s="446"/>
      <c r="E301" s="446"/>
      <c r="F301" s="446"/>
      <c r="G301" s="446"/>
      <c r="H301" s="568"/>
      <c r="I301" s="568"/>
      <c r="J301" s="568"/>
      <c r="K301" s="568"/>
      <c r="L301" s="568"/>
      <c r="M301" s="568"/>
      <c r="N301" s="568"/>
      <c r="O301" s="568"/>
      <c r="P301" s="568"/>
      <c r="Q301" s="568"/>
      <c r="R301" s="568"/>
      <c r="S301" s="568"/>
      <c r="T301" s="568"/>
      <c r="U301" s="568"/>
      <c r="V301" s="568"/>
      <c r="W301" s="568"/>
      <c r="X301" s="568"/>
      <c r="Y301" s="568"/>
      <c r="Z301" s="568"/>
      <c r="AA301" s="568"/>
      <c r="AB301" s="568"/>
      <c r="AC301" s="568"/>
      <c r="AD301" s="567"/>
      <c r="AE301" s="567"/>
      <c r="AF301" s="567"/>
      <c r="AY301" s="477"/>
    </row>
    <row r="302" spans="2:51" ht="15" hidden="1">
      <c r="B302" s="443"/>
      <c r="C302" s="446"/>
      <c r="D302" s="446"/>
      <c r="E302" s="446"/>
      <c r="F302" s="446"/>
      <c r="G302" s="446"/>
      <c r="H302" s="568"/>
      <c r="I302" s="568"/>
      <c r="J302" s="568"/>
      <c r="K302" s="568"/>
      <c r="L302" s="568"/>
      <c r="M302" s="568"/>
      <c r="N302" s="568"/>
      <c r="O302" s="568"/>
      <c r="P302" s="568"/>
      <c r="Q302" s="568"/>
      <c r="R302" s="568"/>
      <c r="S302" s="568"/>
      <c r="T302" s="568"/>
      <c r="U302" s="568"/>
      <c r="V302" s="568"/>
      <c r="W302" s="568"/>
      <c r="X302" s="568"/>
      <c r="Y302" s="568"/>
      <c r="Z302" s="568"/>
      <c r="AA302" s="568"/>
      <c r="AB302" s="568"/>
      <c r="AC302" s="568"/>
      <c r="AD302" s="567"/>
      <c r="AE302" s="567"/>
      <c r="AF302" s="567"/>
      <c r="AY302" s="477"/>
    </row>
    <row r="303" spans="2:51" ht="15" hidden="1">
      <c r="B303" s="443" t="s">
        <v>45</v>
      </c>
      <c r="C303" s="444">
        <v>0</v>
      </c>
      <c r="D303" s="450">
        <v>1000</v>
      </c>
      <c r="E303" s="450">
        <v>2000</v>
      </c>
      <c r="F303" s="450">
        <v>3000</v>
      </c>
      <c r="G303" s="450">
        <v>4000</v>
      </c>
      <c r="H303" s="572">
        <v>5000</v>
      </c>
      <c r="I303" s="572">
        <v>6000</v>
      </c>
      <c r="J303" s="572">
        <v>7000</v>
      </c>
      <c r="K303" s="572">
        <v>8000</v>
      </c>
      <c r="L303" s="572">
        <v>9000</v>
      </c>
      <c r="M303" s="572">
        <v>10000</v>
      </c>
      <c r="N303" s="572">
        <v>11000</v>
      </c>
      <c r="O303" s="572">
        <v>12000</v>
      </c>
      <c r="P303" s="572">
        <v>13000</v>
      </c>
      <c r="Q303" s="572">
        <v>14000</v>
      </c>
      <c r="R303" s="572">
        <v>15000</v>
      </c>
      <c r="S303" s="572">
        <v>16000</v>
      </c>
      <c r="T303" s="572">
        <v>17000</v>
      </c>
      <c r="U303" s="572">
        <v>18000</v>
      </c>
      <c r="V303" s="572">
        <v>19000</v>
      </c>
      <c r="W303" s="572">
        <v>20000</v>
      </c>
      <c r="X303" s="572">
        <v>21000</v>
      </c>
      <c r="Y303" s="572">
        <v>22000</v>
      </c>
      <c r="Z303" s="572">
        <v>23000</v>
      </c>
      <c r="AA303" s="572">
        <v>24000</v>
      </c>
      <c r="AB303" s="572">
        <v>25000</v>
      </c>
      <c r="AC303" s="573" t="s">
        <v>42</v>
      </c>
      <c r="AD303" s="567"/>
      <c r="AE303" s="567"/>
      <c r="AF303" s="567"/>
      <c r="AY303" s="477"/>
    </row>
    <row r="304" spans="2:51" ht="15" hidden="1">
      <c r="B304" s="443"/>
      <c r="C304" s="446">
        <f>C249</f>
        <v>4111</v>
      </c>
      <c r="D304" s="446" t="e">
        <f t="shared" ref="D304:AB304" si="109">ROUND(C304+((D249-C249)*(D303-C303)/(D258-C258)),0)</f>
        <v>#VALUE!</v>
      </c>
      <c r="E304" s="446" t="e">
        <f t="shared" si="109"/>
        <v>#VALUE!</v>
      </c>
      <c r="F304" s="446" t="e">
        <f t="shared" si="109"/>
        <v>#VALUE!</v>
      </c>
      <c r="G304" s="446" t="e">
        <f t="shared" si="109"/>
        <v>#VALUE!</v>
      </c>
      <c r="H304" s="568" t="e">
        <f t="shared" si="109"/>
        <v>#VALUE!</v>
      </c>
      <c r="I304" s="568" t="e">
        <f t="shared" si="109"/>
        <v>#VALUE!</v>
      </c>
      <c r="J304" s="568" t="e">
        <f t="shared" si="109"/>
        <v>#VALUE!</v>
      </c>
      <c r="K304" s="568" t="e">
        <f t="shared" si="109"/>
        <v>#VALUE!</v>
      </c>
      <c r="L304" s="568" t="e">
        <f t="shared" si="109"/>
        <v>#VALUE!</v>
      </c>
      <c r="M304" s="568" t="e">
        <f t="shared" si="109"/>
        <v>#VALUE!</v>
      </c>
      <c r="N304" s="568" t="e">
        <f t="shared" si="109"/>
        <v>#VALUE!</v>
      </c>
      <c r="O304" s="568" t="e">
        <f t="shared" si="109"/>
        <v>#VALUE!</v>
      </c>
      <c r="P304" s="568" t="e">
        <f t="shared" si="109"/>
        <v>#VALUE!</v>
      </c>
      <c r="Q304" s="568" t="e">
        <f t="shared" si="109"/>
        <v>#VALUE!</v>
      </c>
      <c r="R304" s="568" t="e">
        <f t="shared" si="109"/>
        <v>#VALUE!</v>
      </c>
      <c r="S304" s="568" t="e">
        <f t="shared" si="109"/>
        <v>#VALUE!</v>
      </c>
      <c r="T304" s="568" t="e">
        <f t="shared" si="109"/>
        <v>#VALUE!</v>
      </c>
      <c r="U304" s="568" t="e">
        <f t="shared" si="109"/>
        <v>#VALUE!</v>
      </c>
      <c r="V304" s="568" t="e">
        <f t="shared" si="109"/>
        <v>#VALUE!</v>
      </c>
      <c r="W304" s="568" t="e">
        <f t="shared" si="109"/>
        <v>#VALUE!</v>
      </c>
      <c r="X304" s="568" t="e">
        <f t="shared" si="109"/>
        <v>#VALUE!</v>
      </c>
      <c r="Y304" s="568" t="e">
        <f t="shared" si="109"/>
        <v>#VALUE!</v>
      </c>
      <c r="Z304" s="568" t="e">
        <f t="shared" si="109"/>
        <v>#VALUE!</v>
      </c>
      <c r="AA304" s="568" t="e">
        <f t="shared" si="109"/>
        <v>#VALUE!</v>
      </c>
      <c r="AB304" s="568" t="e">
        <f t="shared" si="109"/>
        <v>#VALUE!</v>
      </c>
      <c r="AC304" s="568">
        <f>AC249</f>
        <v>0</v>
      </c>
      <c r="AD304" s="567"/>
      <c r="AE304" s="567"/>
      <c r="AF304" s="567"/>
      <c r="AY304" s="477"/>
    </row>
    <row r="305" spans="2:51" ht="15" hidden="1">
      <c r="B305" s="443" t="s">
        <v>48</v>
      </c>
      <c r="C305" s="446" t="e">
        <f t="shared" ref="C305:AB305" si="110">ROUND((D304-C304)*(C268-C303)/(D303-C303),0)</f>
        <v>#VALUE!</v>
      </c>
      <c r="D305" s="446" t="e">
        <f t="shared" si="110"/>
        <v>#VALUE!</v>
      </c>
      <c r="E305" s="446" t="e">
        <f t="shared" si="110"/>
        <v>#VALUE!</v>
      </c>
      <c r="F305" s="446" t="e">
        <f t="shared" si="110"/>
        <v>#VALUE!</v>
      </c>
      <c r="G305" s="446" t="e">
        <f t="shared" si="110"/>
        <v>#VALUE!</v>
      </c>
      <c r="H305" s="568" t="e">
        <f t="shared" si="110"/>
        <v>#VALUE!</v>
      </c>
      <c r="I305" s="568" t="e">
        <f t="shared" si="110"/>
        <v>#VALUE!</v>
      </c>
      <c r="J305" s="568" t="e">
        <f t="shared" si="110"/>
        <v>#VALUE!</v>
      </c>
      <c r="K305" s="568" t="e">
        <f t="shared" si="110"/>
        <v>#VALUE!</v>
      </c>
      <c r="L305" s="568" t="e">
        <f t="shared" si="110"/>
        <v>#VALUE!</v>
      </c>
      <c r="M305" s="568" t="e">
        <f t="shared" si="110"/>
        <v>#VALUE!</v>
      </c>
      <c r="N305" s="568" t="e">
        <f t="shared" si="110"/>
        <v>#VALUE!</v>
      </c>
      <c r="O305" s="568" t="e">
        <f t="shared" si="110"/>
        <v>#VALUE!</v>
      </c>
      <c r="P305" s="568" t="e">
        <f t="shared" si="110"/>
        <v>#VALUE!</v>
      </c>
      <c r="Q305" s="568" t="e">
        <f t="shared" si="110"/>
        <v>#VALUE!</v>
      </c>
      <c r="R305" s="568" t="e">
        <f t="shared" si="110"/>
        <v>#VALUE!</v>
      </c>
      <c r="S305" s="568" t="e">
        <f t="shared" si="110"/>
        <v>#VALUE!</v>
      </c>
      <c r="T305" s="568" t="e">
        <f t="shared" si="110"/>
        <v>#VALUE!</v>
      </c>
      <c r="U305" s="568" t="e">
        <f t="shared" si="110"/>
        <v>#VALUE!</v>
      </c>
      <c r="V305" s="568" t="e">
        <f t="shared" si="110"/>
        <v>#VALUE!</v>
      </c>
      <c r="W305" s="568" t="e">
        <f t="shared" si="110"/>
        <v>#VALUE!</v>
      </c>
      <c r="X305" s="568" t="e">
        <f t="shared" si="110"/>
        <v>#VALUE!</v>
      </c>
      <c r="Y305" s="568" t="e">
        <f t="shared" si="110"/>
        <v>#VALUE!</v>
      </c>
      <c r="Z305" s="568" t="e">
        <f t="shared" si="110"/>
        <v>#VALUE!</v>
      </c>
      <c r="AA305" s="568" t="e">
        <f t="shared" si="110"/>
        <v>#VALUE!</v>
      </c>
      <c r="AB305" s="568" t="e">
        <f t="shared" si="110"/>
        <v>#VALUE!</v>
      </c>
      <c r="AC305" s="567"/>
      <c r="AD305" s="567"/>
      <c r="AE305" s="567"/>
      <c r="AF305" s="567"/>
      <c r="AY305" s="477"/>
    </row>
    <row r="306" spans="2:51" ht="15" hidden="1">
      <c r="B306" s="443"/>
      <c r="C306" s="446"/>
      <c r="D306" s="446"/>
      <c r="E306" s="446"/>
      <c r="F306" s="446"/>
      <c r="G306" s="446"/>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7"/>
      <c r="AD306" s="567"/>
      <c r="AE306" s="567"/>
      <c r="AF306" s="567"/>
      <c r="AY306" s="477"/>
    </row>
    <row r="307" spans="2:51" ht="15" hidden="1">
      <c r="B307" s="130" t="s">
        <v>85</v>
      </c>
      <c r="C307" s="147">
        <f>C255</f>
        <v>0</v>
      </c>
      <c r="D307" s="147">
        <f>IF(AND(D264&gt;C258,D264&lt;=D258),D255,IF(AND(D264&gt;D258,D264&lt;=E258),E255,IF(AND(D264&gt;E258,D264&lt;=F258),F255,IF(AND(D264&gt;F258,D264&lt;=G258),G255,IF(AND(D264&gt;G258,D264&lt;=H258),H255,IF(AND(D264&gt;H258,D264&lt;=I258),I255,IF(AND(D264&gt;I258,D264&lt;=J258),J255,IF(AND(D264&gt;J258,D264&lt;=K258),K255,IF(AND(D264&gt;K258,D264&lt;=L258),L255,IF(AND(D264&gt;L258,D264&lt;=M258),M255,IF(AND(D264&gt;M258,D264&lt;=N258),N255,O255)))))))))))</f>
        <v>2</v>
      </c>
      <c r="E307" s="147">
        <f>IF(AND(E264&gt;C258,E264&lt;=D258),D255,IF(AND(E264&gt;D258,E264&lt;=E258),E255,IF(AND(E264&gt;E258,E264&lt;=F258),F255,IF(AND(E264&gt;F258,E264&lt;=G258),G255,IF(AND(E264&gt;G258,E264&lt;=H258),H255,IF(AND(E264&gt;H258,E264&lt;=I258),I255,IF(AND(E264&gt;I258,E264&lt;=J258),J255,IF(AND(E264&gt;J258,E264&lt;=K258),K255,IF(AND(E264&gt;K258,E264&lt;=L258),L255,IF(AND(E264&gt;L258,E264&lt;=M258),M255,IF(AND(E264&gt;M258,E264&lt;=N258),N255,IF(AND(E264&gt;N258,E264&lt;=O258),O255,P255))))))))))))</f>
        <v>3</v>
      </c>
      <c r="F307" s="147">
        <f>IF(AND(F264&gt;C258,F264&lt;=D258),D255,IF(AND(F264&gt;D258,F264&lt;=E258),E255,IF(AND(F264&gt;E258,F264&lt;=F258),F255,IF(AND(F264&gt;F258,F264&lt;=G258),G255,IF(AND(F264&gt;G258,F264&lt;=H258),H255,IF(AND(F264&gt;H258,F264&lt;=I258),I255,IF(AND(F264&gt;I258,F264&lt;=J258),J255,IF(AND(F264&gt;J258,F264&lt;=K258),K255,IF(AND(F264&gt;K258,F264&lt;=L258),L255,IF(AND(F264&gt;L258,F264&lt;=M258),M255,IF(AND(F264&gt;M258,F264&lt;=N258),N255,IF(AND(F264&gt;N258,F264&lt;=O258),O255,IF(AND(F264&gt;O258,F264&lt;=P258),P255,Q255)))))))))))))</f>
        <v>3</v>
      </c>
      <c r="G307" s="147">
        <f>IF(AND(G264&gt;C258,G264&lt;=D258),D255,IF(AND(G264&gt;D258,G264&lt;=E258),E255,IF(AND(G264&gt;E258,G264&lt;=F258),F255,IF(AND(G264&gt;F258,G264&lt;=G258),G255,IF(AND(G264&gt;G258,G264&lt;=H258),H255,IF(AND(G264&gt;H258,G264&lt;=I258),I255,IF(AND(G264&gt;I258,G264&lt;=J258),J255,IF(AND(G264&gt;J258,G264&lt;=K258),K255,IF(AND(G264&gt;K258,G264&lt;=L258),L255,IF(AND(G264&gt;L258,G264&lt;=M258),M255,IF(AND(G264&gt;M258,G264&lt;=N258),N255,IF(AND(G264&gt;N258,G264&lt;=O258),O255,IF(AND(G264&gt;O258,G264&lt;=P258),P255,IF(AND(G264&gt;P258,G264&lt;=Q258),Q255,R255))))))))))))))</f>
        <v>4</v>
      </c>
      <c r="H307" s="479">
        <f>IF(AND(H264&gt;D258,H264&lt;=E258),E255,IF(AND(H264&gt;E258,H264&lt;=F258),F255,IF(AND(H264&gt;F258,H264&lt;=G258),G255,IF(AND(H264&gt;G258,H264&lt;=H258),H255,IF(AND(H264&gt;H258,H264&lt;=I258),I255,IF(AND(H264&gt;I258,H264&lt;=J258),J255,IF(AND(H264&gt;J258,H264&lt;=K258),K255,IF(AND(H264&gt;K258,H264&lt;=L258),L255,IF(AND(H264&gt;L258,H264&lt;=M258),M255,IF(AND(H264&gt;M258,H264&lt;=N258),N255,IF(AND(H264&gt;N258,H264&lt;=O258),O255,IF(AND(H264&gt;O258,H264&lt;=P258),P255,IF(AND(H264&gt;P258,H264&lt;=Q258),Q255,IF(AND(H264&gt;Q258,H264&lt;=R258),R255,S255))))))))))))))</f>
        <v>5</v>
      </c>
      <c r="I307" s="479">
        <f>IF(AND(I264&gt;E258,I264&lt;=F258),F255,IF(AND(I264&gt;F258,I264&lt;=G258),G255,IF(AND(I264&gt;G258,I264&lt;=H258),H255,IF(AND(I264&gt;H258,I264&lt;=I258),I255,IF(AND(I264&gt;I258,I264&lt;=J258),J255,IF(AND(I264&gt;J258,I264&lt;=K258),K255,IF(AND(I264&gt;K258,I264&lt;=L258),L255,IF(AND(I264&gt;L258,I264&lt;=M258),M255,IF(AND(I264&gt;M258,I264&lt;=N258),N255,IF(AND(I264&gt;N258,I264&lt;=O258),O255,IF(AND(I264&gt;O258,I264&lt;=P258),P255,IF(AND(I264&gt;P258,I264&lt;=Q258),Q255,IF(AND(I264&gt;Q258,I264&lt;=R258),R255,IF(AND(I264&gt;R258,I264&lt;=S258),S255,IF(AND(I264&gt;S258,I264&lt;=T258),T255,IF(AND(I264&gt;T258,I264&lt;=U258),U255,IF(AND(I264&gt;U258,I264&lt;=V258),V255,IF(AND(I264&gt;V258,I264&lt;=W258),W255,IF(AND(I264&gt;W258,I264&lt;=X258),X255,IF(AND(I264&gt;X258,I264&lt;=Y258),Y255,IF(AND(I264&gt;Y258,I264&lt;=Z258),Z255,IF(AND(I264&gt;Z258,I264&lt;=AA258),AA255,IF(AND(I264&gt;AA258,I264&lt;=AB258),AB255,$AC$255)))))))))))))))))))))))</f>
        <v>5</v>
      </c>
      <c r="J307" s="479">
        <f>IF(AND(J264&gt;F258,J264&lt;=G258),G255,IF(AND(J264&gt;G258,J264&lt;=H258),H255,IF(AND(J264&gt;H258,J264&lt;=I258),I255,IF(AND(J264&gt;I258,J264&lt;=J258),J255,IF(AND(J264&gt;J258,J264&lt;=K258),K255,IF(AND(J264&gt;K258,J264&lt;=L258),L255,IF(AND(J264&gt;L258,J264&lt;=M258),M255,IF(AND(J264&gt;M258,J264&lt;=N258),N255,IF(AND(J264&gt;N258,J264&lt;=O258),O255,IF(AND(J264&gt;O258,J264&lt;=P258),P255,IF(AND(J264&gt;P258,J264&lt;=Q258),Q255,IF(AND(J264&gt;Q258,J264&lt;=R258),R255,IF(AND(J264&gt;R258,J264&lt;=S258),S255,IF(AND(J264&gt;S258,J264&lt;=T258),T255,IF(AND(J264&gt;T258,J264&lt;=U258),U255,IF(AND(J264&gt;U258,J264&lt;=V258),V255,IF(AND(J264&gt;V258,J264&lt;=W258),W255,IF(AND(J264&gt;W258,J264&lt;=X258),X255,IF(AND(J264&gt;X258,J264&lt;=Y258),Y255,IF(AND(J264&gt;Y258,J264&lt;=Z258),Z255,IF(AND(J264&gt;Z258,J264&lt;=AA258),AA255,IF(AND(J264&gt;AA258,J264&lt;=AB258),AB255,$AC$255))))))))))))))))))))))</f>
        <v>6</v>
      </c>
      <c r="K307" s="479">
        <f>IF(AND(K264&gt;G258,K264&lt;=H258),H255,IF(AND(K264&gt;H258,K264&lt;=I258),I255,IF(AND(K264&gt;I258,K264&lt;=J258),J255,IF(AND(K264&gt;J258,K264&lt;=K258),K255,IF(AND(K264&gt;K258,K264&lt;=L258),L255,IF(AND(K264&gt;L258,K264&lt;=M258),M255,IF(AND(K264&gt;M258,K264&lt;=N258),N255,IF(AND(K264&gt;N258,K264&lt;=O258),O255,IF(AND(K264&gt;O258,K264&lt;=P258),P255,IF(AND(K264&gt;P258,K264&lt;=Q258),Q255,IF(AND(K264&gt;Q258,K264&lt;=R258),R255,IF(AND(K264&gt;R258,K264&lt;=S258),S255,IF(AND(K264&gt;S258,K264&lt;=T258),T255,IF(AND(K264&gt;T258,K264&lt;=U258),U255,IF(AND(K264&gt;U258,K264&lt;=V258),V255,IF(AND(K264&gt;V258,K264&lt;=W258),W255,IF(AND(K264&gt;W258,K264&lt;=X258),X255,IF(AND(K264&gt;X258,K264&lt;=Y258),Y255,IF(AND(K264&gt;Y258,K264&lt;=Z258),Z255,IF(AND(K264&gt;Z258,K264&lt;=AA258),AA255,IF(AND(K264&gt;AA258,K264&lt;=AB258),AB255,$AC$255)))))))))))))))))))))</f>
        <v>7</v>
      </c>
      <c r="L307" s="479">
        <f>IF(AND(L264&gt;H258,L264&lt;=I258),I255,IF(AND(L264&gt;I258,L264&lt;=J258),J255,IF(AND(L264&gt;J258,L264&lt;=K258),K255,IF(AND(L264&gt;K258,L264&lt;=L258),L255,IF(AND(L264&gt;L258,L264&lt;=M258),M255,IF(AND(L264&gt;M258,L264&lt;=N258),N255,IF(AND(L264&gt;N258,L264&lt;=O258),O255,IF(AND(L264&gt;O258,L264&lt;=P258),P255,IF(AND(L264&gt;P258,L264&lt;=Q258),Q255,IF(AND(L264&gt;Q258,L264&lt;=R258),R255,IF(AND(L264&gt;R258,L264&lt;=S258),S255,IF(AND(L264&gt;S258,L264&lt;=T258),T255,IF(AND(L264&gt;T258,L264&lt;=U258),U255,IF(AND(L264&gt;U258,L264&lt;=V258),V255,IF(AND(L264&gt;V258,L264&lt;=W258),W255,IF(AND(L264&gt;W258,L264&lt;=X258),X255,IF(AND(L264&gt;X258,L264&lt;=Y258),Y255,IF(AND(L264&gt;Y258,L264&lt;=Z258),Z255,IF(AND(L264&gt;Z258,L264&lt;=AA258),AA255,IF(AND(L264&gt;AA258,L264&lt;=AB258),AB255,$AC$255))))))))))))))))))))</f>
        <v>8</v>
      </c>
      <c r="M307" s="479">
        <f>IF(AND(M264&gt;I258,M264&lt;=J258),J255,IF(AND(M264&gt;J258,M264&lt;=K258),K255,IF(AND(M264&gt;K258,M264&lt;=L258),L255,IF(AND(M264&gt;L258,M264&lt;=M258),M255,IF(AND(M264&gt;M258,M264&lt;=N258),N255,IF(AND(M264&gt;N258,M264&lt;=O258),O255,IF(AND(M264&gt;O258,M264&lt;=P258),P255,IF(AND(M264&gt;P258,M264&lt;=Q258),Q255,IF(AND(M264&gt;Q258,M264&lt;=R258),R255,IF(AND(M264&gt;R258,M264&lt;=S258),S255,IF(AND(M264&gt;S258,M264&lt;=T258),T255,IF(AND(M264&gt;T258,M264&lt;=U258),U255,IF(AND(M264&gt;U258,M264&lt;=V258),V255,IF(AND(M264&gt;V258,M264&lt;=W258),W255,IF(AND(M264&gt;W258,M264&lt;=X258),X255,IF(AND(M264&gt;X258,M264&lt;=Y258),Y255,IF(AND(M264&gt;Y258,M264&lt;=Z258),Z255,IF(AND(M264&gt;Z258,M264&lt;=AA258),AA255,IF(AND(M264&gt;AA258,M264&lt;=AB258),AB255,$AC$255)))))))))))))))))))</f>
        <v>9</v>
      </c>
      <c r="N307" s="479">
        <f>IF(AND(N264&gt;J258,N264&lt;=K258),K255,IF(AND(N264&gt;K258,N264&lt;=L258),L255,IF(AND(N264&gt;L258,N264&lt;=M258),M255,IF(AND(N264&gt;M258,N264&lt;=N258),N255,IF(AND(N264&gt;N258,N264&lt;=O258),O255,IF(AND(N264&gt;O258,N264&lt;=P258),P255,IF(AND(N264&gt;P258,N264&lt;=Q258),Q255,IF(AND(N264&gt;Q258,N264&lt;=R258),R255,IF(AND(N264&gt;R258,N264&lt;=S258),S255,IF(AND(N264&gt;S258,N264&lt;=T258),T255,IF(AND(N264&gt;T258,N264&lt;=U258),U255,IF(AND(N264&gt;U258,N264&lt;=V258),V255,IF(AND(N264&gt;V258,N264&lt;=W258),W255,IF(AND(N264&gt;W258,N264&lt;=X258),X255,IF(AND(N264&gt;X258,N264&lt;=Y258),Y255,IF(AND(N264&gt;Y258,N264&lt;=Z258),Z255,IF(AND(N264&gt;Z258,N264&lt;=AA258),AA255,IF(AND(N264&gt;AA258,N264&lt;=AB258),AB255,$AC$255))))))))))))))))))</f>
        <v>9</v>
      </c>
      <c r="O307" s="479">
        <f>IF(AND(O264&gt;K258,O264&lt;=L258),L255,IF(AND(O264&gt;L258,O264&lt;=M258),M255,IF(AND(O264&gt;M258,O264&lt;=N258),N255,IF(AND(O264&gt;N258,O264&lt;=O258),O255,IF(AND(O264&gt;O258,O264&lt;=P258),P255,IF(AND(O264&gt;P258,O264&lt;=Q258),Q255,IF(AND(O264&gt;Q258,O264&lt;=R258),R255,IF(AND(O264&gt;R258,O264&lt;=S258),S255,IF(AND(O264&gt;S258,O264&lt;=T258),T255,IF(AND(O264&gt;T258,O264&lt;=U258),U255,IF(AND(O264&gt;U258,O264&lt;=V258),V255,IF(AND(O264&gt;V258,O264&lt;=W258),W255,IF(AND(O264&gt;W258,O264&lt;=X258),X255,IF(AND(O264&gt;X258,O264&lt;=Y258),Y255,IF(AND(O264&gt;Y258,O264&lt;=Z258),Z255,IF(AND(O264&gt;Z258,O264&lt;=AA258),AA255,IF(AND(O264&gt;AA258,O264&lt;=AB258),AB255,$AC$255)))))))))))))))))</f>
        <v>10</v>
      </c>
      <c r="P307" s="479">
        <f>IF(AND(P264&gt;L258,P264&lt;=M258),M255,IF(AND(P264&gt;M258,P264&lt;=N258),N255,IF(AND(P264&gt;N258,P264&lt;=O258),O255,IF(AND(P264&gt;O258,P264&lt;=P258),P255,IF(AND(P264&gt;P258,P264&lt;=Q258),Q255,IF(AND(P264&gt;Q258,P264&lt;=R258),R255,IF(AND(P264&gt;R258,P264&lt;=S258),S255,IF(AND(P264&gt;S258,P264&lt;=T258),T255,IF(AND(P264&gt;T258,P264&lt;=U258),U255,IF(AND(P264&gt;U258,P264&lt;=V258),V255,IF(AND(P264&gt;V258,P264&lt;=W258),W255,IF(AND(P264&gt;W258,P264&lt;=X258),X255,IF(AND(P264&gt;X258,P264&lt;=Y258),Y255,IF(AND(P264&gt;Y258,P264&lt;=Z258),Z255,IF(AND(P264&gt;Z258,P264&lt;=AA258),AA255,IF(AND(P264&gt;AA258,P264&lt;=AB258),AB255,$AC$255))))))))))))))))</f>
        <v>11</v>
      </c>
      <c r="Q307" s="479">
        <f>IF(AND(Q264&gt;M258,Q264&lt;=N258),N255,IF(AND(Q264&gt;N258,Q264&lt;=O258),O255,IF(AND(Q264&gt;O258,Q264&lt;=P258),P255,IF(AND(Q264&gt;P258,Q264&lt;=Q258),Q255,IF(AND(Q264&gt;Q258,Q264&lt;=R258),R255,IF(AND(Q264&gt;R258,Q264&lt;=S258),S255,IF(AND(Q264&gt;S258,Q264&lt;=T258),T255,IF(AND(Q264&gt;T258,Q264&lt;=U258),U255,IF(AND(Q264&gt;U258,Q264&lt;=V258),V255,IF(AND(Q264&gt;V258,Q264&lt;=W258),W255,IF(AND(Q264&gt;W258,Q264&lt;=X258),X255,IF(AND(Q264&gt;X258,Q264&lt;=Y258),Y255,IF(AND(Q264&gt;Y258,Q264&lt;=Z258),Z255,IF(AND(Q264&gt;Z258,Q264&lt;=AA258),AA255,IF(AND(Q264&gt;AA258,Q264&lt;=AB258),AB255,$AC$255)))))))))))))))</f>
        <v>12</v>
      </c>
      <c r="R307" s="479">
        <f>IF(AND(R264&gt;N258,R264&lt;=O258),O255,IF(AND(R264&gt;O258,R264&lt;=P258),P255,IF(AND(R264&gt;P258,R264&lt;=Q258),Q255,IF(AND(R264&gt;Q258,R264&lt;=R258),R255,IF(AND(R264&gt;R258,R264&lt;=S258),S255,IF(AND(R264&gt;S258,R264&lt;=T258),T255,IF(AND(R264&gt;T258,R264&lt;=U258),U255,IF(AND(R264&gt;U258,R264&lt;=V258),V255,IF(AND(R264&gt;V258,R264&lt;=W258),W255,IF(AND(R264&gt;W258,R264&lt;=X258),X255,IF(AND(R264&gt;X258,R264&lt;=Y258),Y255,IF(AND(R264&gt;Y258,R264&lt;=Z258),Z255,IF(AND(R264&gt;Z258,R264&lt;=AA258),AA255,IF(AND(R264&gt;AA258,R264&lt;=AB258),AB255,$AC$255))))))))))))))</f>
        <v>13</v>
      </c>
      <c r="S307" s="479">
        <f>IF(AND(S264&gt;O258,S264&lt;=P258),P255,IF(AND(S264&gt;P258,S264&lt;=Q258),Q255,IF(AND(S264&gt;Q258,S264&lt;=R258),R255,IF(AND(S264&gt;R258,S264&lt;=S258),S255,IF(AND(S264&gt;S258,S264&lt;=T258),T255,IF(AND(S264&gt;T258,S264&lt;=U258),U255,IF(AND(S264&gt;U258,S264&lt;=V258),V255,IF(AND(S264&gt;V258,S264&lt;=W258),W255,IF(AND(S264&gt;W258,S264&lt;=X258),X255,IF(AND(S264&gt;X258,S264&lt;=Y258),Y255,IF(AND(S264&gt;Y258,S264&lt;=Z258),Z255,IF(AND(S264&gt;Z258,S264&lt;=AA258),AA255,IF(AND(S264&gt;AA258,S264&lt;=AB258),AB255,$AC$255)))))))))))))</f>
        <v>13</v>
      </c>
      <c r="T307" s="479">
        <f>IF(AND(T264&gt;P258,T264&lt;=Q258),Q255,IF(AND(T264&gt;Q258,T264&lt;=R258),R255,IF(AND(T264&gt;R258,T264&lt;=S258),S255,IF(AND(T264&gt;S258,T264&lt;=T258),T255,IF(AND(T264&gt;T258,T264&lt;=U258),U255,IF(AND(T264&gt;U258,T264&lt;=V258),V255,IF(AND(T264&gt;V258,T264&lt;=W258),W255,IF(AND(T264&gt;W258,T264&lt;=X258),X255,IF(AND(T264&gt;X258,T264&lt;=Y258),Y255,IF(AND(T264&gt;Y258,T264&lt;=Z258),Z255,IF(AND(T264&gt;Z258,T264&lt;=AA258),AA255,IF(AND(T264&gt;AA258,T264&lt;=AB258),AB255,AC$255))))))))))))</f>
        <v>14</v>
      </c>
      <c r="U307" s="479">
        <f>IF(AND(U264&gt;Q258,U264&lt;=R258),R255,IF(AND(U264&gt;R258,U264&lt;=S258),S255,IF(AND(U264&gt;S258,U264&lt;=T258),T255,IF(AND(U264&gt;T258,U264&lt;=U258),U255,IF(AND(U264&gt;U258,U264&lt;=V258),V255,IF(AND(U264&gt;V258,U264&lt;=W258),W255,IF(AND(U264&gt;W258,U264&lt;=X258),X255,IF(AND(U264&gt;X258,U264&lt;=Y258),Y255,IF(AND(U264&gt;Y258,U264&lt;=Z258),Z255,IF(AND(U264&gt;Z258,U264&lt;=AA258),AA255,IF(AND(U264&gt;AA258,U264&lt;=AB258),AB255,$AC$255)))))))))))</f>
        <v>15</v>
      </c>
      <c r="V307" s="479">
        <f>IF(AND(V264&gt;R258,V264&lt;=S258),S255,IF(AND(V264&gt;S258,V264&lt;=T258),T255,IF(AND(V264&gt;T258,V264&lt;=U258),U255,IF(AND(V264&gt;U258,V264&lt;=V258),V255,IF(AND(V264&gt;V258,V264&lt;=W258),W255,IF(AND(V264&gt;W258,V264&lt;=X258),X255,IF(AND(V264&gt;X258,V264&lt;=Y258),Y255,IF(AND(V264&gt;Y258,V264&lt;=Z258),Z255,IF(AND(V264&gt;Z258,V264&lt;=AA258),AA255,IF(AND(V264&gt;AA258,V264&lt;=AB258),AB255,$AC$255))))))))))</f>
        <v>16</v>
      </c>
      <c r="W307" s="479">
        <f>IF(AND(W264&gt;S258,W264&lt;=T258),T255,IF(AND(W264&gt;T258,W264&lt;=U258),U255,IF(AND(W264&gt;U258,W264&lt;=V258),V255,IF(AND(W264&gt;V258,W264&lt;=W258),W255,IF(AND(W264&gt;W258,W264&lt;=X258),X255,IF(AND(W264&gt;X258,W264&lt;=Y258),Y255,IF(AND(W264&gt;Y258,W264&lt;=Z258),Z255,IF(AND(W264&gt;Z258,W264&lt;=AA258),AA255,IF(AND(W264&gt;AA258,W264&lt;=AB258),AB255,$AC$255)))))))))</f>
        <v>17</v>
      </c>
      <c r="X307" s="479">
        <f>IF(AND(X264&gt;T258,X264&lt;=U258),U255,IF(AND(X264&gt;U258,X264&lt;=V258),V255,IF(AND(X264&gt;V258,X264&lt;=W258),W255,IF(AND(X264&gt;W258,X264&lt;=X258),X255,IF(AND(X264&gt;X258,X264&lt;=Y258),Y255,IF(AND(X264&gt;Y258,X264&lt;=Z258),Z255,IF(AND(X264&gt;Z258,X264&lt;=AA258),AA255,IF(AND(X264&gt;AA258,X264&lt;=AB258),AB255,$AC$255))))))))</f>
        <v>26</v>
      </c>
      <c r="Y307" s="479">
        <f>IF(AND(Y264&gt;U258,Y264&lt;=V258),V255,IF(AND(Y264&gt;V258,Y264&lt;=W258),W255,IF(AND(Y264&gt;W258,Y264&lt;=X258),X255,IF(AND(Y264&gt;X258,Y264&lt;=Y258),Y255,IF(AND(Y264&gt;Y258,Y264&lt;=Z258),Z255,IF(AND(Y264&gt;Z258,Y264&lt;=AA258),AA255,IF(AND(Y264&gt;AA258,Y264&lt;=AB258),AB255,$AC$255)))))))</f>
        <v>26</v>
      </c>
      <c r="Z307" s="479">
        <f>IF(AND(Z264&gt;V258,Z264&lt;=W258),W255,IF(AND(Z264&gt;W258,Z264&lt;=X258),X255,IF(AND(Z264&gt;X258,Z264&lt;=Y258),Y255,IF(AND(Z264&gt;Y258,Z264&lt;=Z258),Z255,IF(AND(Z264&gt;Z258,Z264&lt;=AA258),AA255,IF(AND(Z264&gt;AA258,Z264&lt;=AB258),AB255,$AC$255))))))</f>
        <v>26</v>
      </c>
      <c r="AA307" s="479">
        <f>IF(AND(AA264&gt;W258,AA264&lt;=X258),X255,IF(AND(AA264&gt;X258,AA264&lt;=Y258),Y255,IF(AND(AA264&gt;Y258,AA264&lt;=Z258),Z255,IF(AND(AA264&gt;Z258,AA264&lt;=AA258),AA255,IF(AND(AA264&gt;AA258,AA264&lt;=AB258),AB255,$AC$255)))))</f>
        <v>26</v>
      </c>
      <c r="AB307" s="479">
        <f>IF(AND(AB264&gt;X258,AB264&lt;=Y258),Y255,IF(AND(AB264&gt;Y258,AB264&lt;=Z258),Z255,IF(AND(AB264&gt;Z258,AB264&lt;=AA258),AA255,IF(AND(AB264&gt;AA258,AB264&lt;=AB258),AB255,$AC$255))))</f>
        <v>26</v>
      </c>
      <c r="AC307" s="479">
        <f>IF(AND(AC264&gt;Y258,AC264&lt;=Z258),Z255,IF(AND(AC264&gt;Z258,AC264&lt;=AA258),AA255,IF(AND(AC264&gt;AA258,AC264&lt;=AB258),AB255,$AC$255)))</f>
        <v>26</v>
      </c>
      <c r="AY307" s="477"/>
    </row>
    <row r="308" spans="2:51" ht="15" hidden="1">
      <c r="B308" s="130" t="s">
        <v>87</v>
      </c>
      <c r="C308" s="147">
        <f t="shared" ref="C308:AC308" si="111">HLOOKUP(C$307,$C$255:$AC$262,2,FALSE)</f>
        <v>0</v>
      </c>
      <c r="D308" s="147">
        <f t="shared" si="111"/>
        <v>984</v>
      </c>
      <c r="E308" s="147">
        <f t="shared" si="111"/>
        <v>1966</v>
      </c>
      <c r="F308" s="147">
        <f t="shared" si="111"/>
        <v>1966</v>
      </c>
      <c r="G308" s="147">
        <f t="shared" si="111"/>
        <v>3740</v>
      </c>
      <c r="H308" s="479">
        <f t="shared" si="111"/>
        <v>4986</v>
      </c>
      <c r="I308" s="479">
        <f t="shared" si="111"/>
        <v>4986</v>
      </c>
      <c r="J308" s="479">
        <f t="shared" si="111"/>
        <v>6233</v>
      </c>
      <c r="K308" s="479">
        <f t="shared" si="111"/>
        <v>7479</v>
      </c>
      <c r="L308" s="479">
        <f t="shared" si="111"/>
        <v>8725</v>
      </c>
      <c r="M308" s="479">
        <f t="shared" si="111"/>
        <v>9972</v>
      </c>
      <c r="N308" s="479">
        <f t="shared" si="111"/>
        <v>9972</v>
      </c>
      <c r="O308" s="479">
        <f t="shared" si="111"/>
        <v>11218</v>
      </c>
      <c r="P308" s="479">
        <f t="shared" si="111"/>
        <v>12465</v>
      </c>
      <c r="Q308" s="479">
        <f t="shared" si="111"/>
        <v>13711</v>
      </c>
      <c r="R308" s="479">
        <f t="shared" si="111"/>
        <v>14957</v>
      </c>
      <c r="S308" s="479">
        <f t="shared" si="111"/>
        <v>14957</v>
      </c>
      <c r="T308" s="479">
        <f t="shared" si="111"/>
        <v>16204</v>
      </c>
      <c r="U308" s="479">
        <f t="shared" si="111"/>
        <v>17450</v>
      </c>
      <c r="V308" s="479">
        <f t="shared" si="111"/>
        <v>18696</v>
      </c>
      <c r="W308" s="479">
        <f t="shared" si="111"/>
        <v>19943</v>
      </c>
      <c r="X308" s="479">
        <f t="shared" si="111"/>
        <v>31160</v>
      </c>
      <c r="Y308" s="479">
        <f t="shared" si="111"/>
        <v>31160</v>
      </c>
      <c r="Z308" s="479">
        <f t="shared" si="111"/>
        <v>31160</v>
      </c>
      <c r="AA308" s="479">
        <f t="shared" si="111"/>
        <v>31160</v>
      </c>
      <c r="AB308" s="479">
        <f t="shared" si="111"/>
        <v>31160</v>
      </c>
      <c r="AC308" s="479">
        <f t="shared" si="111"/>
        <v>31160</v>
      </c>
      <c r="AY308" s="477"/>
    </row>
    <row r="309" spans="2:51" ht="15" hidden="1">
      <c r="B309" s="130" t="s">
        <v>88</v>
      </c>
      <c r="C309" s="147">
        <f t="shared" ref="C309:AC309" si="112">HLOOKUP(C$307,$C$255:$AC$262,4,FALSE)</f>
        <v>0</v>
      </c>
      <c r="D309" s="147">
        <f t="shared" si="112"/>
        <v>1965</v>
      </c>
      <c r="E309" s="147">
        <f t="shared" si="112"/>
        <v>3739</v>
      </c>
      <c r="F309" s="147">
        <f t="shared" si="112"/>
        <v>3739</v>
      </c>
      <c r="G309" s="147">
        <f t="shared" si="112"/>
        <v>4985</v>
      </c>
      <c r="H309" s="479">
        <f t="shared" si="112"/>
        <v>6232</v>
      </c>
      <c r="I309" s="479">
        <f t="shared" si="112"/>
        <v>6232</v>
      </c>
      <c r="J309" s="479">
        <f t="shared" si="112"/>
        <v>7478</v>
      </c>
      <c r="K309" s="479">
        <f t="shared" si="112"/>
        <v>8724</v>
      </c>
      <c r="L309" s="479">
        <f t="shared" si="112"/>
        <v>9971</v>
      </c>
      <c r="M309" s="479">
        <f t="shared" si="112"/>
        <v>11217</v>
      </c>
      <c r="N309" s="479">
        <f t="shared" si="112"/>
        <v>11217</v>
      </c>
      <c r="O309" s="479">
        <f t="shared" si="112"/>
        <v>12464</v>
      </c>
      <c r="P309" s="479">
        <f t="shared" si="112"/>
        <v>13710</v>
      </c>
      <c r="Q309" s="479">
        <f t="shared" si="112"/>
        <v>14956</v>
      </c>
      <c r="R309" s="479">
        <f t="shared" si="112"/>
        <v>16203</v>
      </c>
      <c r="S309" s="479">
        <f t="shared" si="112"/>
        <v>16203</v>
      </c>
      <c r="T309" s="479">
        <f t="shared" si="112"/>
        <v>17449</v>
      </c>
      <c r="U309" s="479">
        <f t="shared" si="112"/>
        <v>18695</v>
      </c>
      <c r="V309" s="479">
        <f t="shared" si="112"/>
        <v>19942</v>
      </c>
      <c r="W309" s="479">
        <f t="shared" si="112"/>
        <v>21188</v>
      </c>
      <c r="X309" s="479">
        <f t="shared" si="112"/>
        <v>67946</v>
      </c>
      <c r="Y309" s="479">
        <f t="shared" si="112"/>
        <v>67946</v>
      </c>
      <c r="Z309" s="479">
        <f t="shared" si="112"/>
        <v>67946</v>
      </c>
      <c r="AA309" s="479">
        <f t="shared" si="112"/>
        <v>67946</v>
      </c>
      <c r="AB309" s="479">
        <f t="shared" si="112"/>
        <v>67946</v>
      </c>
      <c r="AC309" s="479">
        <f t="shared" si="112"/>
        <v>67946</v>
      </c>
      <c r="AY309" s="477"/>
    </row>
    <row r="310" spans="2:51" ht="15" hidden="1">
      <c r="B310" s="130" t="s">
        <v>86</v>
      </c>
      <c r="C310" s="438">
        <f t="shared" ref="C310:AC310" si="113">HLOOKUP(C$307,$C$255:$AC$262,8,FALSE)</f>
        <v>67031</v>
      </c>
      <c r="D310" s="438">
        <f t="shared" si="113"/>
        <v>269734</v>
      </c>
      <c r="E310" s="438">
        <f t="shared" si="113"/>
        <v>390693</v>
      </c>
      <c r="F310" s="438">
        <f t="shared" si="113"/>
        <v>390693</v>
      </c>
      <c r="G310" s="438">
        <f t="shared" si="113"/>
        <v>504142</v>
      </c>
      <c r="H310" s="561">
        <f t="shared" si="113"/>
        <v>590944</v>
      </c>
      <c r="I310" s="561">
        <f t="shared" si="113"/>
        <v>590944</v>
      </c>
      <c r="J310" s="561">
        <f t="shared" si="113"/>
        <v>658534</v>
      </c>
      <c r="K310" s="561">
        <f t="shared" si="113"/>
        <v>703533</v>
      </c>
      <c r="L310" s="561">
        <f t="shared" si="113"/>
        <v>738937</v>
      </c>
      <c r="M310" s="561">
        <f t="shared" si="113"/>
        <v>761321</v>
      </c>
      <c r="N310" s="561">
        <f t="shared" si="113"/>
        <v>761321</v>
      </c>
      <c r="O310" s="561">
        <f t="shared" si="113"/>
        <v>780698</v>
      </c>
      <c r="P310" s="561">
        <f t="shared" si="113"/>
        <v>792630</v>
      </c>
      <c r="Q310" s="561">
        <f t="shared" si="113"/>
        <v>804068</v>
      </c>
      <c r="R310" s="561">
        <f t="shared" si="113"/>
        <v>811266</v>
      </c>
      <c r="S310" s="561">
        <f t="shared" si="113"/>
        <v>811266</v>
      </c>
      <c r="T310" s="561">
        <f t="shared" si="113"/>
        <v>818512</v>
      </c>
      <c r="U310" s="561">
        <f t="shared" si="113"/>
        <v>823277</v>
      </c>
      <c r="V310" s="561">
        <f t="shared" si="113"/>
        <v>828281</v>
      </c>
      <c r="W310" s="561">
        <f t="shared" si="113"/>
        <v>831725</v>
      </c>
      <c r="X310" s="561">
        <f t="shared" si="113"/>
        <v>864403</v>
      </c>
      <c r="Y310" s="561">
        <f t="shared" si="113"/>
        <v>864403</v>
      </c>
      <c r="Z310" s="561">
        <f t="shared" si="113"/>
        <v>864403</v>
      </c>
      <c r="AA310" s="561">
        <f t="shared" si="113"/>
        <v>864403</v>
      </c>
      <c r="AB310" s="561">
        <f t="shared" si="113"/>
        <v>864403</v>
      </c>
      <c r="AC310" s="561">
        <f t="shared" si="113"/>
        <v>864403</v>
      </c>
      <c r="AY310" s="477"/>
    </row>
    <row r="311" spans="2:51" ht="15" hidden="1">
      <c r="B311" s="130" t="s">
        <v>90</v>
      </c>
      <c r="C311" s="438">
        <v>0</v>
      </c>
      <c r="D311" s="438">
        <f t="shared" ref="D311:AC311" si="114">HLOOKUP(D$307,$C$255:$AC$262,5,FALSE)</f>
        <v>120.99490835030549</v>
      </c>
      <c r="E311" s="438">
        <f t="shared" si="114"/>
        <v>68.18432919954904</v>
      </c>
      <c r="F311" s="438">
        <f t="shared" si="114"/>
        <v>68.18432919954904</v>
      </c>
      <c r="G311" s="438">
        <f t="shared" si="114"/>
        <v>91.050561797752806</v>
      </c>
      <c r="H311" s="561">
        <f t="shared" si="114"/>
        <v>69.60866078588613</v>
      </c>
      <c r="I311" s="561">
        <f t="shared" si="114"/>
        <v>69.60866078588613</v>
      </c>
      <c r="J311" s="561">
        <f t="shared" si="114"/>
        <v>54.24558587479936</v>
      </c>
      <c r="K311" s="561">
        <f t="shared" si="114"/>
        <v>36.114767255216691</v>
      </c>
      <c r="L311" s="561">
        <f t="shared" si="114"/>
        <v>28.391339214113874</v>
      </c>
      <c r="M311" s="561">
        <f t="shared" si="114"/>
        <v>17.964686998394864</v>
      </c>
      <c r="N311" s="561">
        <f t="shared" si="114"/>
        <v>17.964686998394864</v>
      </c>
      <c r="O311" s="561">
        <f t="shared" si="114"/>
        <v>15.538893344025661</v>
      </c>
      <c r="P311" s="561">
        <f t="shared" si="114"/>
        <v>9.5762439807383632</v>
      </c>
      <c r="Q311" s="561">
        <f t="shared" si="114"/>
        <v>9.1797752808988768</v>
      </c>
      <c r="R311" s="561">
        <f t="shared" si="114"/>
        <v>5.7722534081796315</v>
      </c>
      <c r="S311" s="561">
        <f t="shared" si="114"/>
        <v>5.7722534081796315</v>
      </c>
      <c r="T311" s="561">
        <f t="shared" si="114"/>
        <v>5.815409309791332</v>
      </c>
      <c r="U311" s="561">
        <f t="shared" si="114"/>
        <v>3.8242375601926164</v>
      </c>
      <c r="V311" s="561">
        <f t="shared" si="114"/>
        <v>4.0128307939053727</v>
      </c>
      <c r="W311" s="561">
        <f t="shared" si="114"/>
        <v>2.7640449438202248</v>
      </c>
      <c r="X311" s="561">
        <f t="shared" si="114"/>
        <v>0.31704134612770818</v>
      </c>
      <c r="Y311" s="561">
        <f t="shared" si="114"/>
        <v>0.31704134612770818</v>
      </c>
      <c r="Z311" s="561">
        <f t="shared" si="114"/>
        <v>0.31704134612770818</v>
      </c>
      <c r="AA311" s="561">
        <f t="shared" si="114"/>
        <v>0.31704134612770818</v>
      </c>
      <c r="AB311" s="561">
        <f t="shared" si="114"/>
        <v>0.31704134612770818</v>
      </c>
      <c r="AC311" s="561">
        <f t="shared" si="114"/>
        <v>0.31704134612770818</v>
      </c>
      <c r="AY311" s="477"/>
    </row>
    <row r="312" spans="2:51" ht="15" hidden="1">
      <c r="B312" s="130" t="s">
        <v>91</v>
      </c>
      <c r="C312" s="438">
        <f>C309-C264</f>
        <v>0</v>
      </c>
      <c r="D312" s="438">
        <f>D309-D264</f>
        <v>965</v>
      </c>
      <c r="E312" s="438">
        <f>E309-E264</f>
        <v>1739</v>
      </c>
      <c r="F312" s="438">
        <f>F309-F264</f>
        <v>739</v>
      </c>
      <c r="G312" s="438">
        <f t="shared" ref="G312:T312" si="115">G309-G264</f>
        <v>985</v>
      </c>
      <c r="H312" s="561">
        <f t="shared" si="115"/>
        <v>1232</v>
      </c>
      <c r="I312" s="561">
        <f t="shared" si="115"/>
        <v>232</v>
      </c>
      <c r="J312" s="561">
        <f t="shared" si="115"/>
        <v>478</v>
      </c>
      <c r="K312" s="561">
        <f t="shared" si="115"/>
        <v>724</v>
      </c>
      <c r="L312" s="561">
        <f t="shared" si="115"/>
        <v>971</v>
      </c>
      <c r="M312" s="561">
        <f t="shared" si="115"/>
        <v>1217</v>
      </c>
      <c r="N312" s="561">
        <f t="shared" si="115"/>
        <v>217</v>
      </c>
      <c r="O312" s="561">
        <f t="shared" si="115"/>
        <v>464</v>
      </c>
      <c r="P312" s="561">
        <f t="shared" si="115"/>
        <v>710</v>
      </c>
      <c r="Q312" s="561">
        <f t="shared" si="115"/>
        <v>956</v>
      </c>
      <c r="R312" s="561">
        <f t="shared" si="115"/>
        <v>1203</v>
      </c>
      <c r="S312" s="561">
        <f t="shared" si="115"/>
        <v>203</v>
      </c>
      <c r="T312" s="561">
        <f t="shared" si="115"/>
        <v>449</v>
      </c>
      <c r="U312" s="561">
        <f>U309-U264</f>
        <v>695</v>
      </c>
      <c r="V312" s="561">
        <f>V309-V264</f>
        <v>942</v>
      </c>
      <c r="W312" s="561">
        <f>W309-W264</f>
        <v>1188</v>
      </c>
      <c r="X312" s="561">
        <f t="shared" ref="X312" si="116">X309-X264</f>
        <v>46946</v>
      </c>
      <c r="Y312" s="561">
        <f>Y309-Y264</f>
        <v>45946</v>
      </c>
      <c r="Z312" s="561">
        <f>Z309-Z264</f>
        <v>44946</v>
      </c>
      <c r="AA312" s="561">
        <f t="shared" ref="AA312" si="117">AA309-AA264</f>
        <v>43946</v>
      </c>
      <c r="AB312" s="561">
        <f>AB309-AB264</f>
        <v>42946</v>
      </c>
      <c r="AC312" s="561">
        <f>AC309-AC264</f>
        <v>0</v>
      </c>
      <c r="AY312" s="477"/>
    </row>
    <row r="313" spans="2:51" ht="15" hidden="1">
      <c r="B313" s="130" t="s">
        <v>92</v>
      </c>
      <c r="C313" s="438">
        <f>C312*C311</f>
        <v>0</v>
      </c>
      <c r="D313" s="438">
        <f>D312*D311</f>
        <v>116760.0865580448</v>
      </c>
      <c r="E313" s="438">
        <f t="shared" ref="E313" si="118">E312*E311</f>
        <v>118572.54847801579</v>
      </c>
      <c r="F313" s="438">
        <f>F312*F311</f>
        <v>50388.219278466742</v>
      </c>
      <c r="G313" s="438">
        <f t="shared" ref="G313:V313" si="119">G312*G311</f>
        <v>89684.803370786511</v>
      </c>
      <c r="H313" s="561">
        <f t="shared" si="119"/>
        <v>85757.870088211712</v>
      </c>
      <c r="I313" s="561">
        <f t="shared" si="119"/>
        <v>16149.209302325582</v>
      </c>
      <c r="J313" s="561">
        <f t="shared" si="119"/>
        <v>25929.390048154095</v>
      </c>
      <c r="K313" s="561">
        <f t="shared" si="119"/>
        <v>26147.091492776883</v>
      </c>
      <c r="L313" s="561">
        <f t="shared" si="119"/>
        <v>27567.99037690457</v>
      </c>
      <c r="M313" s="561">
        <f t="shared" si="119"/>
        <v>21863.02407704655</v>
      </c>
      <c r="N313" s="561">
        <f t="shared" si="119"/>
        <v>3898.3370786516857</v>
      </c>
      <c r="O313" s="561">
        <f t="shared" si="119"/>
        <v>7210.0465116279065</v>
      </c>
      <c r="P313" s="561">
        <f t="shared" si="119"/>
        <v>6799.1332263242375</v>
      </c>
      <c r="Q313" s="561">
        <f t="shared" si="119"/>
        <v>8775.865168539327</v>
      </c>
      <c r="R313" s="561">
        <f t="shared" si="119"/>
        <v>6944.0208500400968</v>
      </c>
      <c r="S313" s="561">
        <f t="shared" si="119"/>
        <v>1171.7674418604652</v>
      </c>
      <c r="T313" s="561">
        <f t="shared" si="119"/>
        <v>2611.118780096308</v>
      </c>
      <c r="U313" s="561">
        <f t="shared" si="119"/>
        <v>2657.8451043338682</v>
      </c>
      <c r="V313" s="561">
        <f t="shared" si="119"/>
        <v>3780.086607858861</v>
      </c>
      <c r="W313" s="561">
        <f>W312*W311</f>
        <v>3283.6853932584272</v>
      </c>
      <c r="X313" s="561">
        <f>X312*X311</f>
        <v>14883.823035311389</v>
      </c>
      <c r="Y313" s="561">
        <f>Y312*Y311</f>
        <v>14566.781689183679</v>
      </c>
      <c r="Z313" s="561">
        <f t="shared" ref="Z313:AC313" si="120">Z312*Z311</f>
        <v>14249.740343055972</v>
      </c>
      <c r="AA313" s="561">
        <f t="shared" si="120"/>
        <v>13932.698996928264</v>
      </c>
      <c r="AB313" s="561">
        <f t="shared" si="120"/>
        <v>13615.657650800555</v>
      </c>
      <c r="AC313" s="561">
        <f t="shared" si="120"/>
        <v>0</v>
      </c>
      <c r="AY313" s="477"/>
    </row>
    <row r="314" spans="2:51" ht="15" hidden="1">
      <c r="B314" s="130" t="s">
        <v>89</v>
      </c>
      <c r="C314" s="438">
        <f>C310-C313</f>
        <v>67031</v>
      </c>
      <c r="D314" s="438">
        <f>D310-D313</f>
        <v>152973.9134419552</v>
      </c>
      <c r="E314" s="438">
        <f>E310-E313</f>
        <v>272120.45152198419</v>
      </c>
      <c r="F314" s="438">
        <f>F310-F313</f>
        <v>340304.78072153323</v>
      </c>
      <c r="G314" s="438">
        <f t="shared" ref="G314:R314" si="121">G310-G313</f>
        <v>414457.19662921352</v>
      </c>
      <c r="H314" s="561">
        <f t="shared" si="121"/>
        <v>505186.12991178827</v>
      </c>
      <c r="I314" s="561">
        <f t="shared" si="121"/>
        <v>574794.79069767438</v>
      </c>
      <c r="J314" s="561">
        <f t="shared" si="121"/>
        <v>632604.60995184595</v>
      </c>
      <c r="K314" s="561">
        <f t="shared" si="121"/>
        <v>677385.90850722312</v>
      </c>
      <c r="L314" s="561">
        <f t="shared" si="121"/>
        <v>711369.00962309539</v>
      </c>
      <c r="M314" s="561">
        <f t="shared" si="121"/>
        <v>739457.97592295345</v>
      </c>
      <c r="N314" s="561">
        <f t="shared" si="121"/>
        <v>757422.66292134835</v>
      </c>
      <c r="O314" s="561">
        <f t="shared" si="121"/>
        <v>773487.95348837215</v>
      </c>
      <c r="P314" s="561">
        <f t="shared" si="121"/>
        <v>785830.86677367578</v>
      </c>
      <c r="Q314" s="561">
        <f t="shared" si="121"/>
        <v>795292.13483146066</v>
      </c>
      <c r="R314" s="561">
        <f t="shared" si="121"/>
        <v>804321.97914995987</v>
      </c>
      <c r="S314" s="561">
        <f>S310-S313</f>
        <v>810094.23255813948</v>
      </c>
      <c r="T314" s="561">
        <f t="shared" ref="T314:V314" si="122">T310-T313</f>
        <v>815900.88121990371</v>
      </c>
      <c r="U314" s="561">
        <f t="shared" si="122"/>
        <v>820619.15489566617</v>
      </c>
      <c r="V314" s="561">
        <f t="shared" si="122"/>
        <v>824500.91339214111</v>
      </c>
      <c r="W314" s="561">
        <f>W310-W313</f>
        <v>828441.31460674154</v>
      </c>
      <c r="X314" s="561">
        <f t="shared" ref="X314:Y314" si="123">X310-X313</f>
        <v>849519.17696468858</v>
      </c>
      <c r="Y314" s="561">
        <f t="shared" si="123"/>
        <v>849836.21831081633</v>
      </c>
      <c r="Z314" s="561">
        <f>Z310-Z313</f>
        <v>850153.25965694408</v>
      </c>
      <c r="AA314" s="561">
        <f t="shared" ref="AA314:AB314" si="124">AA310-AA313</f>
        <v>850470.30100307171</v>
      </c>
      <c r="AB314" s="561">
        <f t="shared" si="124"/>
        <v>850787.34234919946</v>
      </c>
      <c r="AC314" s="561">
        <f>AC310-AC313</f>
        <v>864403</v>
      </c>
      <c r="AY314" s="477"/>
    </row>
    <row r="315" spans="2:51" ht="15" hidden="1">
      <c r="B315" s="130"/>
      <c r="C315" s="438"/>
      <c r="D315" s="147"/>
      <c r="E315" s="147"/>
      <c r="F315" s="147"/>
      <c r="G315" s="147"/>
      <c r="H315" s="479"/>
      <c r="I315" s="479"/>
      <c r="J315" s="479"/>
      <c r="K315" s="479"/>
      <c r="L315" s="479"/>
      <c r="M315" s="479"/>
      <c r="N315" s="479"/>
      <c r="O315" s="479"/>
      <c r="P315" s="479"/>
      <c r="Q315" s="479"/>
      <c r="R315" s="479"/>
      <c r="S315" s="479"/>
      <c r="T315" s="479"/>
      <c r="U315" s="479"/>
      <c r="V315" s="479"/>
      <c r="W315" s="479"/>
      <c r="X315" s="479"/>
      <c r="Y315" s="479"/>
      <c r="Z315" s="479"/>
      <c r="AA315" s="479"/>
      <c r="AB315" s="479"/>
      <c r="AC315" s="479"/>
      <c r="AY315" s="477"/>
    </row>
    <row r="316" spans="2:51" ht="15" hidden="1">
      <c r="B316" s="130" t="s">
        <v>93</v>
      </c>
      <c r="C316" s="437">
        <v>0</v>
      </c>
      <c r="D316" s="435">
        <v>1000</v>
      </c>
      <c r="E316" s="435">
        <v>2000</v>
      </c>
      <c r="F316" s="435">
        <v>3000</v>
      </c>
      <c r="G316" s="435">
        <v>4000</v>
      </c>
      <c r="H316" s="560">
        <v>5000</v>
      </c>
      <c r="I316" s="560">
        <v>6000</v>
      </c>
      <c r="J316" s="560">
        <v>7000</v>
      </c>
      <c r="K316" s="560">
        <v>8000</v>
      </c>
      <c r="L316" s="560">
        <v>9000</v>
      </c>
      <c r="M316" s="560">
        <v>10000</v>
      </c>
      <c r="N316" s="560">
        <v>11000</v>
      </c>
      <c r="O316" s="560">
        <v>12000</v>
      </c>
      <c r="P316" s="560">
        <v>13000</v>
      </c>
      <c r="Q316" s="560">
        <v>14000</v>
      </c>
      <c r="R316" s="560">
        <v>15000</v>
      </c>
      <c r="S316" s="560">
        <v>16000</v>
      </c>
      <c r="T316" s="560">
        <v>17000</v>
      </c>
      <c r="U316" s="560">
        <v>18000</v>
      </c>
      <c r="V316" s="560">
        <v>19000</v>
      </c>
      <c r="W316" s="560">
        <v>20000</v>
      </c>
      <c r="X316" s="560">
        <v>21000</v>
      </c>
      <c r="Y316" s="560">
        <v>22000</v>
      </c>
      <c r="Z316" s="560">
        <v>23000</v>
      </c>
      <c r="AA316" s="560">
        <v>24000</v>
      </c>
      <c r="AB316" s="560">
        <v>25000</v>
      </c>
      <c r="AC316" s="560" t="s">
        <v>38</v>
      </c>
      <c r="AY316" s="477"/>
    </row>
    <row r="317" spans="2:51" hidden="1">
      <c r="B317" s="147" t="s">
        <v>39</v>
      </c>
      <c r="C317" s="437">
        <f>C323</f>
        <v>0</v>
      </c>
      <c r="D317" s="435" t="str">
        <f t="shared" ref="D317:AB317" si="125">C323+1&amp;" - "&amp;D323</f>
        <v>1 - 1000</v>
      </c>
      <c r="E317" s="435" t="str">
        <f t="shared" si="125"/>
        <v>1001 - 2000</v>
      </c>
      <c r="F317" s="435" t="str">
        <f t="shared" si="125"/>
        <v>2001 - 3000</v>
      </c>
      <c r="G317" s="435" t="str">
        <f t="shared" si="125"/>
        <v>3001 - 4000</v>
      </c>
      <c r="H317" s="560" t="str">
        <f t="shared" si="125"/>
        <v>4001 - 5000</v>
      </c>
      <c r="I317" s="560" t="str">
        <f t="shared" si="125"/>
        <v>5001 - 6000</v>
      </c>
      <c r="J317" s="560" t="str">
        <f t="shared" si="125"/>
        <v>6001 - 7000</v>
      </c>
      <c r="K317" s="560" t="str">
        <f t="shared" si="125"/>
        <v>7001 - 8000</v>
      </c>
      <c r="L317" s="560" t="str">
        <f t="shared" si="125"/>
        <v>8001 - 9000</v>
      </c>
      <c r="M317" s="560" t="str">
        <f t="shared" si="125"/>
        <v>9001 - 10000</v>
      </c>
      <c r="N317" s="560" t="str">
        <f t="shared" si="125"/>
        <v>10001 - 11000</v>
      </c>
      <c r="O317" s="560" t="str">
        <f t="shared" si="125"/>
        <v>11001 - 12000</v>
      </c>
      <c r="P317" s="560" t="str">
        <f t="shared" si="125"/>
        <v>12001 - 13000</v>
      </c>
      <c r="Q317" s="560" t="str">
        <f t="shared" si="125"/>
        <v>13001 - 14000</v>
      </c>
      <c r="R317" s="560" t="str">
        <f t="shared" si="125"/>
        <v>14001 - 15000</v>
      </c>
      <c r="S317" s="560" t="str">
        <f t="shared" si="125"/>
        <v>15001 - 16000</v>
      </c>
      <c r="T317" s="560" t="str">
        <f t="shared" si="125"/>
        <v>16001 - 17000</v>
      </c>
      <c r="U317" s="560" t="str">
        <f t="shared" si="125"/>
        <v>17001 - 18000</v>
      </c>
      <c r="V317" s="560" t="str">
        <f t="shared" si="125"/>
        <v>18001 - 19000</v>
      </c>
      <c r="W317" s="560" t="str">
        <f t="shared" si="125"/>
        <v>19001 - 20000</v>
      </c>
      <c r="X317" s="560" t="str">
        <f t="shared" si="125"/>
        <v>20001 - 21000</v>
      </c>
      <c r="Y317" s="560" t="str">
        <f t="shared" si="125"/>
        <v>21001 - 22000</v>
      </c>
      <c r="Z317" s="560" t="str">
        <f t="shared" si="125"/>
        <v>22001 - 23000</v>
      </c>
      <c r="AA317" s="560" t="str">
        <f t="shared" si="125"/>
        <v>23001 - 24000</v>
      </c>
      <c r="AB317" s="560" t="str">
        <f t="shared" si="125"/>
        <v>24001 - 25000</v>
      </c>
      <c r="AC317" s="560" t="s">
        <v>38</v>
      </c>
      <c r="AY317" s="477"/>
    </row>
    <row r="318" spans="2:51" ht="15" hidden="1">
      <c r="B318" s="130" t="s">
        <v>94</v>
      </c>
      <c r="C318" s="438">
        <f>C314</f>
        <v>67031</v>
      </c>
      <c r="D318" s="438">
        <f t="shared" ref="D318:AC318" si="126">D314</f>
        <v>152973.9134419552</v>
      </c>
      <c r="E318" s="438">
        <f t="shared" si="126"/>
        <v>272120.45152198419</v>
      </c>
      <c r="F318" s="438">
        <f t="shared" si="126"/>
        <v>340304.78072153323</v>
      </c>
      <c r="G318" s="438">
        <f t="shared" si="126"/>
        <v>414457.19662921352</v>
      </c>
      <c r="H318" s="561">
        <f t="shared" si="126"/>
        <v>505186.12991178827</v>
      </c>
      <c r="I318" s="561">
        <f t="shared" si="126"/>
        <v>574794.79069767438</v>
      </c>
      <c r="J318" s="561">
        <f t="shared" si="126"/>
        <v>632604.60995184595</v>
      </c>
      <c r="K318" s="561">
        <f t="shared" si="126"/>
        <v>677385.90850722312</v>
      </c>
      <c r="L318" s="561">
        <f t="shared" si="126"/>
        <v>711369.00962309539</v>
      </c>
      <c r="M318" s="561">
        <f t="shared" si="126"/>
        <v>739457.97592295345</v>
      </c>
      <c r="N318" s="561">
        <f t="shared" si="126"/>
        <v>757422.66292134835</v>
      </c>
      <c r="O318" s="561">
        <f t="shared" si="126"/>
        <v>773487.95348837215</v>
      </c>
      <c r="P318" s="561">
        <f t="shared" si="126"/>
        <v>785830.86677367578</v>
      </c>
      <c r="Q318" s="561">
        <f t="shared" si="126"/>
        <v>795292.13483146066</v>
      </c>
      <c r="R318" s="561">
        <f t="shared" si="126"/>
        <v>804321.97914995987</v>
      </c>
      <c r="S318" s="561">
        <f t="shared" si="126"/>
        <v>810094.23255813948</v>
      </c>
      <c r="T318" s="561">
        <f t="shared" si="126"/>
        <v>815900.88121990371</v>
      </c>
      <c r="U318" s="561">
        <f t="shared" si="126"/>
        <v>820619.15489566617</v>
      </c>
      <c r="V318" s="561">
        <f t="shared" si="126"/>
        <v>824500.91339214111</v>
      </c>
      <c r="W318" s="561">
        <f t="shared" si="126"/>
        <v>828441.31460674154</v>
      </c>
      <c r="X318" s="561">
        <f t="shared" si="126"/>
        <v>849519.17696468858</v>
      </c>
      <c r="Y318" s="561">
        <f t="shared" si="126"/>
        <v>849836.21831081633</v>
      </c>
      <c r="Z318" s="561">
        <f t="shared" si="126"/>
        <v>850153.25965694408</v>
      </c>
      <c r="AA318" s="561">
        <f t="shared" si="126"/>
        <v>850470.30100307171</v>
      </c>
      <c r="AB318" s="561">
        <f t="shared" si="126"/>
        <v>850787.34234919946</v>
      </c>
      <c r="AC318" s="561">
        <f t="shared" si="126"/>
        <v>864403</v>
      </c>
      <c r="AY318" s="477"/>
    </row>
    <row r="319" spans="2:51" ht="15" hidden="1">
      <c r="B319" s="130" t="s">
        <v>95</v>
      </c>
      <c r="C319" s="438">
        <f>C318</f>
        <v>67031</v>
      </c>
      <c r="D319" s="451">
        <f>D318-C318</f>
        <v>85942.913441955199</v>
      </c>
      <c r="E319" s="451">
        <f t="shared" ref="E319:AC319" si="127">E318-D318</f>
        <v>119146.53808002899</v>
      </c>
      <c r="F319" s="451">
        <f t="shared" si="127"/>
        <v>68184.329199549044</v>
      </c>
      <c r="G319" s="451">
        <f t="shared" si="127"/>
        <v>74152.41590768029</v>
      </c>
      <c r="H319" s="574">
        <f t="shared" si="127"/>
        <v>90728.933282574755</v>
      </c>
      <c r="I319" s="574">
        <f t="shared" si="127"/>
        <v>69608.66078588611</v>
      </c>
      <c r="J319" s="574">
        <f t="shared" si="127"/>
        <v>57809.819254171569</v>
      </c>
      <c r="K319" s="574">
        <f t="shared" si="127"/>
        <v>44781.298555377172</v>
      </c>
      <c r="L319" s="574">
        <f t="shared" si="127"/>
        <v>33983.101115872269</v>
      </c>
      <c r="M319" s="574">
        <f t="shared" si="127"/>
        <v>28088.966299858061</v>
      </c>
      <c r="N319" s="574">
        <f t="shared" si="127"/>
        <v>17964.6869983949</v>
      </c>
      <c r="O319" s="574">
        <f t="shared" si="127"/>
        <v>16065.290567023796</v>
      </c>
      <c r="P319" s="574">
        <f t="shared" si="127"/>
        <v>12342.913285303628</v>
      </c>
      <c r="Q319" s="574">
        <f t="shared" si="127"/>
        <v>9461.2680577848805</v>
      </c>
      <c r="R319" s="574">
        <f t="shared" si="127"/>
        <v>9029.8443184992066</v>
      </c>
      <c r="S319" s="574">
        <f t="shared" si="127"/>
        <v>5772.2534081796184</v>
      </c>
      <c r="T319" s="574">
        <f t="shared" si="127"/>
        <v>5806.6486617642222</v>
      </c>
      <c r="U319" s="574">
        <f t="shared" si="127"/>
        <v>4718.2736757624662</v>
      </c>
      <c r="V319" s="574">
        <f t="shared" si="127"/>
        <v>3881.7584964749403</v>
      </c>
      <c r="W319" s="574">
        <f t="shared" si="127"/>
        <v>3940.4012146004243</v>
      </c>
      <c r="X319" s="574">
        <f t="shared" si="127"/>
        <v>21077.862357947044</v>
      </c>
      <c r="Y319" s="574">
        <f t="shared" si="127"/>
        <v>317.04134612774942</v>
      </c>
      <c r="Z319" s="574">
        <f t="shared" si="127"/>
        <v>317.04134612774942</v>
      </c>
      <c r="AA319" s="574">
        <f t="shared" si="127"/>
        <v>317.04134612763301</v>
      </c>
      <c r="AB319" s="574">
        <f t="shared" si="127"/>
        <v>317.04134612774942</v>
      </c>
      <c r="AC319" s="574">
        <f t="shared" si="127"/>
        <v>13615.657650800538</v>
      </c>
      <c r="AY319" s="477"/>
    </row>
    <row r="320" spans="2:51" hidden="1">
      <c r="B320" s="411" t="s">
        <v>96</v>
      </c>
      <c r="C320" s="452">
        <f t="shared" ref="C320:AC320" si="128">C319-C160</f>
        <v>0</v>
      </c>
      <c r="D320" s="452">
        <f t="shared" si="128"/>
        <v>2056.9134419551992</v>
      </c>
      <c r="E320" s="452">
        <f t="shared" si="128"/>
        <v>329.53808002898586</v>
      </c>
      <c r="F320" s="452">
        <f t="shared" si="128"/>
        <v>-52774.670800450956</v>
      </c>
      <c r="G320" s="452">
        <f t="shared" si="128"/>
        <v>-39296.58409231971</v>
      </c>
      <c r="H320" s="575">
        <f t="shared" si="128"/>
        <v>3926.9332825747551</v>
      </c>
      <c r="I320" s="575">
        <f t="shared" si="128"/>
        <v>2018.6607858861098</v>
      </c>
      <c r="J320" s="575">
        <f t="shared" si="128"/>
        <v>12810.819254171569</v>
      </c>
      <c r="K320" s="575">
        <f t="shared" si="128"/>
        <v>9377.2985553771723</v>
      </c>
      <c r="L320" s="575">
        <f t="shared" si="128"/>
        <v>11599.101115872269</v>
      </c>
      <c r="M320" s="575">
        <f t="shared" si="128"/>
        <v>8711.9662998580607</v>
      </c>
      <c r="N320" s="575">
        <f t="shared" si="128"/>
        <v>6032.6869983949</v>
      </c>
      <c r="O320" s="575">
        <f t="shared" si="128"/>
        <v>4627.290567023796</v>
      </c>
      <c r="P320" s="575">
        <f t="shared" si="128"/>
        <v>5144.9132853036281</v>
      </c>
      <c r="Q320" s="575">
        <f t="shared" si="128"/>
        <v>2215.2680577848805</v>
      </c>
      <c r="R320" s="575">
        <f t="shared" si="128"/>
        <v>4264.8443184992066</v>
      </c>
      <c r="S320" s="575">
        <f t="shared" si="128"/>
        <v>768.25340817961842</v>
      </c>
      <c r="T320" s="575">
        <f t="shared" si="128"/>
        <v>2362.6486617642222</v>
      </c>
      <c r="U320" s="575">
        <f t="shared" si="128"/>
        <v>1044.2736757624662</v>
      </c>
      <c r="V320" s="575">
        <f t="shared" si="128"/>
        <v>1310.7584964749403</v>
      </c>
      <c r="W320" s="575">
        <f t="shared" si="128"/>
        <v>991.40121460042428</v>
      </c>
      <c r="X320" s="575">
        <f t="shared" si="128"/>
        <v>18315.862357947044</v>
      </c>
      <c r="Y320" s="575">
        <f t="shared" si="128"/>
        <v>-2335.9586538722506</v>
      </c>
      <c r="Z320" s="575">
        <f t="shared" si="128"/>
        <v>-2186.9586538722506</v>
      </c>
      <c r="AA320" s="575">
        <f t="shared" si="128"/>
        <v>-1951.958653872367</v>
      </c>
      <c r="AB320" s="575">
        <f t="shared" si="128"/>
        <v>-1315.9586538722506</v>
      </c>
      <c r="AC320" s="575">
        <f t="shared" si="128"/>
        <v>1952.6576508005382</v>
      </c>
      <c r="AD320" s="576"/>
      <c r="AE320" s="576"/>
      <c r="AF320" s="576"/>
      <c r="AY320" s="477"/>
    </row>
    <row r="321" spans="2:51" s="411" customFormat="1" hidden="1">
      <c r="B321" s="411" t="s">
        <v>274</v>
      </c>
      <c r="C321" s="453">
        <f>C319/$AC$318</f>
        <v>7.7546005740378038E-2</v>
      </c>
      <c r="D321" s="453">
        <f t="shared" ref="D321:AC321" si="129">D319/$AC$318</f>
        <v>9.9424589505074837E-2</v>
      </c>
      <c r="E321" s="453">
        <f t="shared" si="129"/>
        <v>0.13783679381032804</v>
      </c>
      <c r="F321" s="453">
        <f t="shared" si="129"/>
        <v>7.8880255158241055E-2</v>
      </c>
      <c r="G321" s="453">
        <f t="shared" si="129"/>
        <v>8.5784542519727822E-2</v>
      </c>
      <c r="H321" s="577">
        <f t="shared" si="129"/>
        <v>0.10496138176588322</v>
      </c>
      <c r="I321" s="577">
        <f t="shared" si="129"/>
        <v>8.052801851206684E-2</v>
      </c>
      <c r="J321" s="577">
        <f t="shared" si="129"/>
        <v>6.6878318624728941E-2</v>
      </c>
      <c r="K321" s="577">
        <f t="shared" si="129"/>
        <v>5.1806042500288835E-2</v>
      </c>
      <c r="L321" s="577">
        <f t="shared" si="129"/>
        <v>3.9313955546050015E-2</v>
      </c>
      <c r="M321" s="577">
        <f t="shared" si="129"/>
        <v>3.249522074756573E-2</v>
      </c>
      <c r="N321" s="577">
        <f t="shared" si="129"/>
        <v>2.0782767989461975E-2</v>
      </c>
      <c r="O321" s="577">
        <f t="shared" si="129"/>
        <v>1.8585417411813465E-2</v>
      </c>
      <c r="P321" s="577">
        <f t="shared" si="129"/>
        <v>1.4279118981891117E-2</v>
      </c>
      <c r="Q321" s="577">
        <f t="shared" si="129"/>
        <v>1.0945436396894596E-2</v>
      </c>
      <c r="R321" s="577">
        <f t="shared" si="129"/>
        <v>1.0446336163223874E-2</v>
      </c>
      <c r="S321" s="577">
        <f t="shared" si="129"/>
        <v>6.6777341219079736E-3</v>
      </c>
      <c r="T321" s="577">
        <f t="shared" si="129"/>
        <v>6.7175248833752565E-3</v>
      </c>
      <c r="U321" s="577">
        <f t="shared" si="129"/>
        <v>5.458418903870609E-3</v>
      </c>
      <c r="V321" s="577">
        <f t="shared" si="129"/>
        <v>4.4906814257643021E-3</v>
      </c>
      <c r="W321" s="577">
        <f t="shared" si="129"/>
        <v>4.5585232982768738E-3</v>
      </c>
      <c r="X321" s="577">
        <f t="shared" si="129"/>
        <v>2.4384300329761747E-2</v>
      </c>
      <c r="Y321" s="577">
        <f t="shared" si="129"/>
        <v>3.6677492573226775E-4</v>
      </c>
      <c r="Z321" s="577">
        <f t="shared" si="129"/>
        <v>3.6677492573226775E-4</v>
      </c>
      <c r="AA321" s="577">
        <f t="shared" si="129"/>
        <v>3.6677492573213304E-4</v>
      </c>
      <c r="AB321" s="577">
        <f t="shared" si="129"/>
        <v>3.6677492573226775E-4</v>
      </c>
      <c r="AC321" s="577">
        <f t="shared" si="129"/>
        <v>1.5751515960495902E-2</v>
      </c>
      <c r="AD321" s="576"/>
      <c r="AE321" s="576"/>
      <c r="AF321" s="576"/>
      <c r="AG321" s="576"/>
      <c r="AH321" s="576"/>
      <c r="AI321" s="576"/>
      <c r="AJ321" s="576"/>
      <c r="AK321" s="576"/>
      <c r="AL321" s="576"/>
      <c r="AM321" s="576"/>
    </row>
    <row r="322" spans="2:51" hidden="1">
      <c r="B322" s="411"/>
      <c r="C322" s="452"/>
      <c r="D322" s="452"/>
      <c r="E322" s="452"/>
      <c r="F322" s="452"/>
      <c r="G322" s="452"/>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6"/>
      <c r="AE322" s="576"/>
      <c r="AF322" s="576"/>
      <c r="AY322" s="477"/>
    </row>
    <row r="323" spans="2:51" hidden="1">
      <c r="B323" s="436" t="s">
        <v>4</v>
      </c>
      <c r="C323" s="437">
        <v>0</v>
      </c>
      <c r="D323" s="435">
        <v>1000</v>
      </c>
      <c r="E323" s="435">
        <v>2000</v>
      </c>
      <c r="F323" s="435">
        <v>3000</v>
      </c>
      <c r="G323" s="435">
        <v>4000</v>
      </c>
      <c r="H323" s="560">
        <v>5000</v>
      </c>
      <c r="I323" s="560">
        <v>6000</v>
      </c>
      <c r="J323" s="560">
        <v>7000</v>
      </c>
      <c r="K323" s="560">
        <v>8000</v>
      </c>
      <c r="L323" s="560">
        <v>9000</v>
      </c>
      <c r="M323" s="560">
        <v>10000</v>
      </c>
      <c r="N323" s="560">
        <v>11000</v>
      </c>
      <c r="O323" s="560">
        <v>12000</v>
      </c>
      <c r="P323" s="560">
        <v>13000</v>
      </c>
      <c r="Q323" s="560">
        <v>14000</v>
      </c>
      <c r="R323" s="560">
        <v>15000</v>
      </c>
      <c r="S323" s="560">
        <v>16000</v>
      </c>
      <c r="T323" s="560">
        <v>17000</v>
      </c>
      <c r="U323" s="560">
        <v>18000</v>
      </c>
      <c r="V323" s="560">
        <v>19000</v>
      </c>
      <c r="W323" s="560">
        <v>20000</v>
      </c>
      <c r="X323" s="560">
        <v>21000</v>
      </c>
      <c r="Y323" s="560">
        <v>22000</v>
      </c>
      <c r="Z323" s="560">
        <v>23000</v>
      </c>
      <c r="AA323" s="560">
        <v>24000</v>
      </c>
      <c r="AB323" s="560">
        <v>25000</v>
      </c>
      <c r="AC323" s="560" t="s">
        <v>42</v>
      </c>
      <c r="AY323" s="477"/>
    </row>
    <row r="324" spans="2:51" ht="28.5" hidden="1">
      <c r="B324" s="454" t="s">
        <v>340</v>
      </c>
      <c r="C324" s="455">
        <f t="array" ref="C324:AB324">TRANSPOSE('Input COMPARATIVE Rates'!F55:F80)</f>
        <v>8</v>
      </c>
      <c r="D324" s="455">
        <v>9.5</v>
      </c>
      <c r="E324" s="455">
        <v>11</v>
      </c>
      <c r="F324" s="455">
        <v>13.5</v>
      </c>
      <c r="G324" s="455">
        <v>16</v>
      </c>
      <c r="H324" s="578">
        <v>18.5</v>
      </c>
      <c r="I324" s="578">
        <v>21</v>
      </c>
      <c r="J324" s="578">
        <v>23.5</v>
      </c>
      <c r="K324" s="578">
        <v>26</v>
      </c>
      <c r="L324" s="578">
        <v>28.5</v>
      </c>
      <c r="M324" s="578">
        <v>31</v>
      </c>
      <c r="N324" s="578">
        <v>33.5</v>
      </c>
      <c r="O324" s="578">
        <v>36</v>
      </c>
      <c r="P324" s="578">
        <v>38.5</v>
      </c>
      <c r="Q324" s="578">
        <v>41</v>
      </c>
      <c r="R324" s="578">
        <v>43.5</v>
      </c>
      <c r="S324" s="578">
        <v>46</v>
      </c>
      <c r="T324" s="578">
        <v>48.5</v>
      </c>
      <c r="U324" s="578">
        <v>51</v>
      </c>
      <c r="V324" s="578">
        <v>53.5</v>
      </c>
      <c r="W324" s="578">
        <v>56</v>
      </c>
      <c r="X324" s="578">
        <v>58.5</v>
      </c>
      <c r="Y324" s="578">
        <v>61</v>
      </c>
      <c r="Z324" s="578">
        <v>63.5</v>
      </c>
      <c r="AA324" s="578">
        <v>66</v>
      </c>
      <c r="AB324" s="578">
        <v>68.5</v>
      </c>
      <c r="AC324" s="578">
        <f>'Input COMPARATIVE Rates'!S55</f>
        <v>90.932500000000005</v>
      </c>
      <c r="AD324" s="466" t="str">
        <f>"&lt;-- at "&amp;AE258&amp;" gallons/month"</f>
        <v>&lt;-- at 33973 gallons/month</v>
      </c>
      <c r="AY324" s="477"/>
    </row>
    <row r="325" spans="2:51" hidden="1">
      <c r="B325" s="411"/>
      <c r="C325" s="452"/>
      <c r="D325" s="452"/>
      <c r="E325" s="452"/>
      <c r="F325" s="452"/>
      <c r="G325" s="452"/>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6"/>
      <c r="AE325" s="576"/>
      <c r="AF325" s="576"/>
      <c r="AY325" s="477"/>
    </row>
    <row r="326" spans="2:51" ht="15" hidden="1">
      <c r="B326" s="130"/>
      <c r="C326" s="438"/>
      <c r="D326" s="451"/>
      <c r="E326" s="451"/>
      <c r="F326" s="451"/>
      <c r="G326" s="451"/>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Y326" s="477"/>
    </row>
    <row r="327" spans="2:51" hidden="1">
      <c r="B327" s="436" t="s">
        <v>337</v>
      </c>
      <c r="C327" s="146">
        <f>C319*C324</f>
        <v>536248</v>
      </c>
      <c r="D327" s="146">
        <f t="shared" ref="D327:AA327" si="130">D319*D324</f>
        <v>816457.67769857438</v>
      </c>
      <c r="E327" s="146">
        <f t="shared" si="130"/>
        <v>1310611.9188803188</v>
      </c>
      <c r="F327" s="146">
        <f t="shared" si="130"/>
        <v>920488.44419391209</v>
      </c>
      <c r="G327" s="146">
        <f t="shared" si="130"/>
        <v>1186438.6545228846</v>
      </c>
      <c r="H327" s="579">
        <f t="shared" si="130"/>
        <v>1678485.2657276329</v>
      </c>
      <c r="I327" s="579">
        <f t="shared" si="130"/>
        <v>1461781.8765036082</v>
      </c>
      <c r="J327" s="579">
        <f t="shared" si="130"/>
        <v>1358530.7524730319</v>
      </c>
      <c r="K327" s="579">
        <f t="shared" si="130"/>
        <v>1164313.7624398065</v>
      </c>
      <c r="L327" s="579">
        <f t="shared" si="130"/>
        <v>968518.3818023596</v>
      </c>
      <c r="M327" s="579">
        <f t="shared" si="130"/>
        <v>870757.95529559988</v>
      </c>
      <c r="N327" s="579">
        <f t="shared" si="130"/>
        <v>601817.01444622921</v>
      </c>
      <c r="O327" s="579">
        <f t="shared" si="130"/>
        <v>578350.46041285666</v>
      </c>
      <c r="P327" s="579">
        <f t="shared" si="130"/>
        <v>475202.16148418968</v>
      </c>
      <c r="Q327" s="579">
        <f t="shared" si="130"/>
        <v>387911.9903691801</v>
      </c>
      <c r="R327" s="579">
        <f t="shared" si="130"/>
        <v>392798.22785471549</v>
      </c>
      <c r="S327" s="579">
        <f t="shared" si="130"/>
        <v>265523.65677626245</v>
      </c>
      <c r="T327" s="579">
        <f t="shared" si="130"/>
        <v>281622.46009556478</v>
      </c>
      <c r="U327" s="579">
        <f t="shared" si="130"/>
        <v>240631.95746388577</v>
      </c>
      <c r="V327" s="579">
        <f t="shared" si="130"/>
        <v>207674.07956140931</v>
      </c>
      <c r="W327" s="579">
        <f t="shared" si="130"/>
        <v>220662.46801762376</v>
      </c>
      <c r="X327" s="579">
        <f t="shared" si="130"/>
        <v>1233054.9479399021</v>
      </c>
      <c r="Y327" s="579">
        <f t="shared" si="130"/>
        <v>19339.522113792715</v>
      </c>
      <c r="Z327" s="579">
        <f t="shared" si="130"/>
        <v>20132.125479112088</v>
      </c>
      <c r="AA327" s="579">
        <f t="shared" si="130"/>
        <v>20924.728844423778</v>
      </c>
      <c r="AB327" s="579">
        <f>AB319*AB324</f>
        <v>21717.332209750835</v>
      </c>
      <c r="AC327" s="579">
        <f>AC319*AC324</f>
        <v>1238105.7893314201</v>
      </c>
      <c r="AY327" s="477"/>
    </row>
    <row r="328" spans="2:51" hidden="1">
      <c r="B328" s="133" t="s">
        <v>341</v>
      </c>
      <c r="C328" s="146">
        <f>$C$324*C319</f>
        <v>536248</v>
      </c>
      <c r="D328" s="146">
        <f t="shared" ref="D328:AC328" si="131">$C$324*D319</f>
        <v>687543.30753564159</v>
      </c>
      <c r="E328" s="146">
        <f t="shared" si="131"/>
        <v>953172.30464023189</v>
      </c>
      <c r="F328" s="146">
        <f t="shared" si="131"/>
        <v>545474.63359639235</v>
      </c>
      <c r="G328" s="146">
        <f t="shared" si="131"/>
        <v>593219.32726144232</v>
      </c>
      <c r="H328" s="579">
        <f t="shared" si="131"/>
        <v>725831.46626059804</v>
      </c>
      <c r="I328" s="579">
        <f t="shared" si="131"/>
        <v>556869.28628708888</v>
      </c>
      <c r="J328" s="579">
        <f t="shared" si="131"/>
        <v>462478.55403337255</v>
      </c>
      <c r="K328" s="579">
        <f t="shared" si="131"/>
        <v>358250.38844301738</v>
      </c>
      <c r="L328" s="579">
        <f t="shared" si="131"/>
        <v>271864.80892697815</v>
      </c>
      <c r="M328" s="579">
        <f t="shared" si="131"/>
        <v>224711.73039886449</v>
      </c>
      <c r="N328" s="579">
        <f t="shared" si="131"/>
        <v>143717.4959871592</v>
      </c>
      <c r="O328" s="579">
        <f t="shared" si="131"/>
        <v>128522.32453619037</v>
      </c>
      <c r="P328" s="579">
        <f t="shared" si="131"/>
        <v>98743.306282429025</v>
      </c>
      <c r="Q328" s="579">
        <f t="shared" si="131"/>
        <v>75690.144462279044</v>
      </c>
      <c r="R328" s="579">
        <f t="shared" si="131"/>
        <v>72238.754547993653</v>
      </c>
      <c r="S328" s="579">
        <f t="shared" si="131"/>
        <v>46178.027265436947</v>
      </c>
      <c r="T328" s="579">
        <f t="shared" si="131"/>
        <v>46453.189294113778</v>
      </c>
      <c r="U328" s="579">
        <f t="shared" si="131"/>
        <v>37746.189406099729</v>
      </c>
      <c r="V328" s="579">
        <f t="shared" si="131"/>
        <v>31054.067971799523</v>
      </c>
      <c r="W328" s="579">
        <f t="shared" si="131"/>
        <v>31523.209716803394</v>
      </c>
      <c r="X328" s="579">
        <f t="shared" si="131"/>
        <v>168622.89886357635</v>
      </c>
      <c r="Y328" s="579">
        <f t="shared" si="131"/>
        <v>2536.3307690219954</v>
      </c>
      <c r="Z328" s="579">
        <f t="shared" si="131"/>
        <v>2536.3307690219954</v>
      </c>
      <c r="AA328" s="579">
        <f t="shared" si="131"/>
        <v>2536.330769021064</v>
      </c>
      <c r="AB328" s="579">
        <f t="shared" si="131"/>
        <v>2536.3307690219954</v>
      </c>
      <c r="AC328" s="579">
        <f t="shared" si="131"/>
        <v>108925.26120640431</v>
      </c>
      <c r="AY328" s="477"/>
    </row>
    <row r="329" spans="2:51" hidden="1">
      <c r="B329" s="129" t="s">
        <v>343</v>
      </c>
      <c r="C329" s="146">
        <f>C327-C328</f>
        <v>0</v>
      </c>
      <c r="D329" s="146">
        <f>D327-D328</f>
        <v>128914.37016293278</v>
      </c>
      <c r="E329" s="146">
        <f t="shared" ref="E329:AC329" si="132">E327-E328</f>
        <v>357439.61424008687</v>
      </c>
      <c r="F329" s="146">
        <f t="shared" si="132"/>
        <v>375013.81059751974</v>
      </c>
      <c r="G329" s="146">
        <f t="shared" si="132"/>
        <v>593219.32726144232</v>
      </c>
      <c r="H329" s="579">
        <f t="shared" si="132"/>
        <v>952653.79946703487</v>
      </c>
      <c r="I329" s="579">
        <f t="shared" si="132"/>
        <v>904912.59021651931</v>
      </c>
      <c r="J329" s="579">
        <f t="shared" si="132"/>
        <v>896052.19843965932</v>
      </c>
      <c r="K329" s="579">
        <f t="shared" si="132"/>
        <v>806063.3739967891</v>
      </c>
      <c r="L329" s="579">
        <f t="shared" si="132"/>
        <v>696653.57287538145</v>
      </c>
      <c r="M329" s="579">
        <f t="shared" si="132"/>
        <v>646046.2248967354</v>
      </c>
      <c r="N329" s="579">
        <f t="shared" si="132"/>
        <v>458099.51845907001</v>
      </c>
      <c r="O329" s="579">
        <f t="shared" si="132"/>
        <v>449828.13587666629</v>
      </c>
      <c r="P329" s="579">
        <f t="shared" si="132"/>
        <v>376458.85520176066</v>
      </c>
      <c r="Q329" s="579">
        <f t="shared" si="132"/>
        <v>312221.84590690106</v>
      </c>
      <c r="R329" s="579">
        <f t="shared" si="132"/>
        <v>320559.47330672183</v>
      </c>
      <c r="S329" s="579">
        <f t="shared" si="132"/>
        <v>219345.6295108255</v>
      </c>
      <c r="T329" s="579">
        <f t="shared" si="132"/>
        <v>235169.270801451</v>
      </c>
      <c r="U329" s="579">
        <f t="shared" si="132"/>
        <v>202885.76805778604</v>
      </c>
      <c r="V329" s="579">
        <f t="shared" si="132"/>
        <v>176620.01158960979</v>
      </c>
      <c r="W329" s="579">
        <f t="shared" si="132"/>
        <v>189139.25830082037</v>
      </c>
      <c r="X329" s="579">
        <f t="shared" si="132"/>
        <v>1064432.0490763257</v>
      </c>
      <c r="Y329" s="579">
        <f t="shared" si="132"/>
        <v>16803.191344770719</v>
      </c>
      <c r="Z329" s="579">
        <f t="shared" si="132"/>
        <v>17595.794710090093</v>
      </c>
      <c r="AA329" s="579">
        <f t="shared" si="132"/>
        <v>18388.398075402714</v>
      </c>
      <c r="AB329" s="579">
        <f t="shared" si="132"/>
        <v>19181.00144072884</v>
      </c>
      <c r="AC329" s="579">
        <f t="shared" si="132"/>
        <v>1129180.5281250158</v>
      </c>
      <c r="AY329" s="477"/>
    </row>
    <row r="330" spans="2:51" ht="15.75" hidden="1" thickBot="1">
      <c r="B330" s="130"/>
      <c r="C330" s="146"/>
      <c r="D330" s="146"/>
      <c r="E330" s="146"/>
      <c r="F330" s="146"/>
      <c r="G330" s="146"/>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Y330" s="477"/>
    </row>
    <row r="331" spans="2:51" ht="15.75" hidden="1" thickBot="1">
      <c r="B331" s="130"/>
      <c r="C331" s="146" t="s">
        <v>201</v>
      </c>
      <c r="D331" s="146"/>
      <c r="E331" s="146"/>
      <c r="F331" s="146" t="s">
        <v>199</v>
      </c>
      <c r="G331" s="146"/>
      <c r="H331" s="466"/>
      <c r="I331" s="580" t="s">
        <v>200</v>
      </c>
      <c r="J331" s="579"/>
      <c r="K331" s="579"/>
      <c r="L331" s="579"/>
      <c r="M331" s="579"/>
      <c r="N331" s="579"/>
      <c r="O331" s="579"/>
      <c r="P331" s="579"/>
      <c r="Q331" s="579"/>
      <c r="R331" s="579"/>
      <c r="S331" s="579"/>
      <c r="T331" s="579"/>
      <c r="U331" s="579"/>
      <c r="V331" s="579"/>
      <c r="W331" s="579"/>
      <c r="X331" s="579"/>
      <c r="Y331" s="579"/>
      <c r="Z331" s="579"/>
      <c r="AA331" s="579"/>
      <c r="AB331" s="579"/>
      <c r="AC331" s="579"/>
      <c r="AY331" s="477"/>
    </row>
    <row r="332" spans="2:51" hidden="1">
      <c r="B332" s="436" t="s">
        <v>338</v>
      </c>
      <c r="C332" s="140">
        <f>SUM(C327:AC327)</f>
        <v>18478101.611938048</v>
      </c>
      <c r="D332" s="141"/>
      <c r="E332" s="146"/>
      <c r="F332" s="146">
        <f>F244</f>
        <v>15408000</v>
      </c>
      <c r="G332" s="146"/>
      <c r="H332" s="466"/>
      <c r="I332" s="581">
        <f>C332-F332</f>
        <v>3070101.6119380482</v>
      </c>
      <c r="J332" s="579"/>
      <c r="K332" s="579"/>
      <c r="L332" s="579"/>
      <c r="M332" s="579"/>
      <c r="N332" s="579"/>
      <c r="O332" s="579"/>
      <c r="P332" s="579"/>
      <c r="Q332" s="579"/>
      <c r="R332" s="579"/>
      <c r="S332" s="579"/>
      <c r="T332" s="579"/>
      <c r="U332" s="579"/>
      <c r="V332" s="579"/>
      <c r="W332" s="579"/>
      <c r="X332" s="579"/>
      <c r="Y332" s="579"/>
      <c r="Z332" s="579"/>
      <c r="AA332" s="579"/>
      <c r="AB332" s="579"/>
      <c r="AC332" s="579"/>
      <c r="AY332" s="477"/>
    </row>
    <row r="333" spans="2:51" ht="15" hidden="1" thickBot="1">
      <c r="B333" s="133" t="s">
        <v>342</v>
      </c>
      <c r="C333" s="142">
        <f>SUM(C328:AC328)</f>
        <v>6915224</v>
      </c>
      <c r="D333" s="143">
        <f>C333/C332</f>
        <v>0.37423887719787829</v>
      </c>
      <c r="E333" s="146"/>
      <c r="F333" s="146">
        <f>F245</f>
        <v>4322000</v>
      </c>
      <c r="G333" s="456">
        <f>F333/F332</f>
        <v>0.28050363447559712</v>
      </c>
      <c r="H333" s="466"/>
      <c r="I333" s="582">
        <f>I332/$F$244</f>
        <v>0.19925373909255245</v>
      </c>
      <c r="J333" s="579"/>
      <c r="K333" s="579"/>
      <c r="L333" s="579"/>
      <c r="M333" s="579"/>
      <c r="N333" s="579"/>
      <c r="O333" s="579"/>
      <c r="P333" s="579"/>
      <c r="Q333" s="579"/>
      <c r="R333" s="579"/>
      <c r="S333" s="579"/>
      <c r="T333" s="579"/>
      <c r="U333" s="579"/>
      <c r="V333" s="579"/>
      <c r="W333" s="579"/>
      <c r="X333" s="579"/>
      <c r="Y333" s="579"/>
      <c r="Z333" s="579"/>
      <c r="AA333" s="579"/>
      <c r="AB333" s="579"/>
      <c r="AC333" s="579"/>
      <c r="AY333" s="477"/>
    </row>
    <row r="334" spans="2:51" ht="15" hidden="1" thickBot="1">
      <c r="B334" s="129" t="s">
        <v>276</v>
      </c>
      <c r="C334" s="144">
        <f>SUM(C329:AC329)</f>
        <v>11562877.611938048</v>
      </c>
      <c r="D334" s="145">
        <f>C334/C332</f>
        <v>0.62576112280212171</v>
      </c>
      <c r="E334" s="146"/>
      <c r="F334" s="146">
        <f>F246</f>
        <v>11086000</v>
      </c>
      <c r="G334" s="456">
        <f>F334/F332</f>
        <v>0.71949636552440288</v>
      </c>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Y334" s="477"/>
    </row>
    <row r="335" spans="2:51" hidden="1">
      <c r="C335" s="146"/>
      <c r="D335" s="456"/>
      <c r="E335" s="146"/>
      <c r="F335" s="146"/>
      <c r="G335" s="146"/>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Y335" s="477"/>
    </row>
    <row r="336" spans="2:51" hidden="1">
      <c r="B336" s="457" t="s">
        <v>339</v>
      </c>
      <c r="C336" s="146"/>
      <c r="D336" s="146"/>
      <c r="E336" s="146"/>
      <c r="F336" s="146"/>
      <c r="G336" s="146"/>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Y336" s="477"/>
    </row>
    <row r="337" spans="2:52" hidden="1">
      <c r="B337" s="147" t="s">
        <v>176</v>
      </c>
      <c r="C337" s="147">
        <f>ROUND((SUMPRODUCT(C319:AB319,C316:AB316)+AC319*AE258)/SUM(C319:AC319),0)</f>
        <v>6049</v>
      </c>
      <c r="D337" s="147" t="s">
        <v>177</v>
      </c>
      <c r="E337" s="147"/>
      <c r="F337" s="147"/>
      <c r="J337" s="465"/>
      <c r="K337" s="465"/>
      <c r="M337" s="465"/>
      <c r="N337" s="465"/>
      <c r="P337" s="465"/>
      <c r="Q337" s="465"/>
      <c r="S337" s="465"/>
      <c r="AY337" s="477"/>
    </row>
    <row r="338" spans="2:52" hidden="1">
      <c r="B338" s="147"/>
      <c r="C338" s="147"/>
      <c r="D338" s="147"/>
      <c r="E338" s="147"/>
      <c r="F338" s="147"/>
      <c r="J338" s="465"/>
      <c r="K338" s="465"/>
      <c r="M338" s="465"/>
      <c r="N338" s="465"/>
      <c r="P338" s="465"/>
      <c r="Q338" s="465"/>
      <c r="S338" s="465"/>
      <c r="AY338" s="477"/>
    </row>
    <row r="339" spans="2:52" hidden="1">
      <c r="B339" s="147"/>
      <c r="C339" s="147"/>
      <c r="D339" s="147"/>
      <c r="E339" s="147"/>
      <c r="F339" s="147"/>
      <c r="J339" s="465"/>
      <c r="K339" s="465"/>
      <c r="M339" s="465"/>
      <c r="N339" s="465"/>
      <c r="P339" s="465"/>
      <c r="Q339" s="465"/>
      <c r="S339" s="465"/>
      <c r="AY339" s="477"/>
    </row>
    <row r="340" spans="2:52" hidden="1">
      <c r="B340" s="147"/>
      <c r="C340" s="147"/>
      <c r="D340" s="147"/>
      <c r="E340" s="147"/>
      <c r="F340" s="147"/>
      <c r="J340" s="465"/>
      <c r="K340" s="465"/>
      <c r="M340" s="465"/>
      <c r="N340" s="465"/>
      <c r="P340" s="465"/>
      <c r="Q340" s="465"/>
      <c r="S340" s="465"/>
      <c r="AY340" s="477"/>
    </row>
    <row r="341" spans="2:52" hidden="1">
      <c r="B341" s="147"/>
      <c r="C341" s="147"/>
      <c r="D341" s="147"/>
      <c r="E341" s="147"/>
      <c r="F341" s="147"/>
      <c r="J341" s="465"/>
      <c r="K341" s="465"/>
      <c r="M341" s="465"/>
      <c r="N341" s="465"/>
      <c r="P341" s="465"/>
      <c r="Q341" s="465"/>
      <c r="S341" s="465"/>
      <c r="AY341" s="477"/>
    </row>
    <row r="342" spans="2:52" ht="15" hidden="1">
      <c r="B342" s="130"/>
      <c r="C342" s="438"/>
      <c r="D342" s="438"/>
      <c r="E342" s="438"/>
      <c r="F342" s="438"/>
      <c r="G342" s="438"/>
      <c r="H342" s="561"/>
      <c r="I342" s="561"/>
      <c r="J342" s="561"/>
      <c r="K342" s="561"/>
      <c r="L342" s="561"/>
      <c r="M342" s="561"/>
      <c r="N342" s="561"/>
      <c r="O342" s="561"/>
      <c r="P342" s="561"/>
      <c r="Q342" s="561"/>
      <c r="R342" s="561"/>
      <c r="S342" s="561"/>
      <c r="T342" s="561"/>
      <c r="U342" s="561"/>
      <c r="V342" s="561"/>
      <c r="W342" s="561"/>
      <c r="X342" s="561"/>
      <c r="Y342" s="561"/>
      <c r="Z342" s="561"/>
      <c r="AA342" s="561"/>
      <c r="AB342" s="561"/>
      <c r="AC342" s="561"/>
    </row>
    <row r="343" spans="2:52" s="134" customFormat="1" ht="15.75" hidden="1" thickBot="1">
      <c r="B343" s="130"/>
      <c r="C343" s="438"/>
      <c r="D343" s="438"/>
      <c r="E343" s="438"/>
      <c r="F343" s="438"/>
      <c r="G343" s="438"/>
      <c r="H343" s="584"/>
      <c r="I343" s="584"/>
      <c r="J343" s="584"/>
      <c r="K343" s="584"/>
      <c r="L343" s="584"/>
      <c r="M343" s="584"/>
      <c r="N343" s="584"/>
      <c r="O343" s="584"/>
      <c r="P343" s="584"/>
      <c r="Q343" s="584"/>
      <c r="R343" s="584"/>
      <c r="S343" s="584"/>
      <c r="T343" s="584"/>
      <c r="U343" s="584"/>
      <c r="V343" s="584"/>
      <c r="W343" s="584"/>
      <c r="X343" s="584"/>
      <c r="Y343" s="584"/>
      <c r="Z343" s="584"/>
      <c r="AA343" s="584"/>
      <c r="AB343" s="584"/>
      <c r="AC343" s="584"/>
      <c r="AD343" s="585"/>
      <c r="AE343" s="585"/>
      <c r="AF343" s="585"/>
      <c r="AG343" s="585"/>
      <c r="AH343" s="585"/>
      <c r="AI343" s="585"/>
      <c r="AJ343" s="585"/>
      <c r="AK343" s="585"/>
      <c r="AL343" s="585"/>
      <c r="AM343" s="585"/>
    </row>
    <row r="344" spans="2:52" ht="62.25" customHeight="1">
      <c r="B344" s="1031" t="s">
        <v>485</v>
      </c>
      <c r="C344" s="1032"/>
      <c r="D344" s="1032"/>
      <c r="E344" s="1032"/>
      <c r="F344" s="1032"/>
      <c r="G344" s="1033"/>
      <c r="H344" s="561"/>
      <c r="I344" s="561"/>
      <c r="J344" s="561"/>
      <c r="K344" s="561"/>
      <c r="L344" s="561"/>
      <c r="M344" s="561"/>
      <c r="N344" s="561"/>
      <c r="O344" s="561"/>
      <c r="P344" s="561"/>
      <c r="Q344" s="561"/>
      <c r="R344" s="561"/>
      <c r="S344" s="561"/>
      <c r="T344" s="561"/>
      <c r="U344" s="561"/>
      <c r="V344" s="561"/>
      <c r="W344" s="561"/>
      <c r="X344" s="561"/>
      <c r="Y344" s="561"/>
      <c r="Z344" s="561"/>
      <c r="AA344" s="561"/>
      <c r="AB344" s="561"/>
      <c r="AC344" s="561"/>
    </row>
    <row r="345" spans="2:52">
      <c r="B345" s="154"/>
      <c r="C345" s="152"/>
      <c r="D345" s="152"/>
      <c r="E345" s="152"/>
      <c r="F345" s="152"/>
      <c r="G345" s="178"/>
      <c r="AY345" s="461"/>
    </row>
    <row r="346" spans="2:52" ht="15.75">
      <c r="B346" s="881"/>
      <c r="C346" s="880"/>
      <c r="D346" s="880"/>
      <c r="E346" s="886" t="s">
        <v>250</v>
      </c>
      <c r="F346" s="886" t="s">
        <v>249</v>
      </c>
      <c r="G346" s="153"/>
      <c r="I346" s="465"/>
      <c r="AZ346" s="461"/>
    </row>
    <row r="347" spans="2:52" s="433" customFormat="1" ht="33" customHeight="1">
      <c r="B347" s="1044" t="s">
        <v>487</v>
      </c>
      <c r="C347" s="1045"/>
      <c r="D347" s="1045"/>
      <c r="E347" s="731">
        <f>ROUND(C244,-3)</f>
        <v>14286000</v>
      </c>
      <c r="F347" s="731">
        <f>ROUND(C332,-3)</f>
        <v>18478000</v>
      </c>
      <c r="G347" s="885"/>
      <c r="H347" s="882"/>
      <c r="I347" s="882"/>
      <c r="J347" s="558"/>
      <c r="K347" s="558"/>
      <c r="L347" s="558"/>
      <c r="M347" s="558"/>
      <c r="N347" s="558"/>
      <c r="O347" s="558"/>
      <c r="P347" s="558"/>
      <c r="Q347" s="558"/>
      <c r="R347" s="558"/>
      <c r="S347" s="558"/>
      <c r="T347" s="558"/>
      <c r="U347" s="558"/>
      <c r="V347" s="558"/>
      <c r="W347" s="558"/>
      <c r="X347" s="558"/>
      <c r="Y347" s="558"/>
      <c r="Z347" s="558"/>
      <c r="AA347" s="558"/>
      <c r="AB347" s="558"/>
      <c r="AC347" s="558"/>
      <c r="AD347" s="558"/>
      <c r="AE347" s="558"/>
      <c r="AF347" s="558"/>
      <c r="AG347" s="558"/>
      <c r="AH347" s="558"/>
      <c r="AI347" s="558"/>
      <c r="AJ347" s="558"/>
      <c r="AK347" s="558"/>
      <c r="AL347" s="558"/>
      <c r="AM347" s="558"/>
      <c r="AZ347" s="883"/>
    </row>
    <row r="348" spans="2:52" ht="15">
      <c r="B348" s="163"/>
      <c r="C348" s="157"/>
      <c r="D348" s="157"/>
      <c r="E348" s="873"/>
      <c r="F348" s="873"/>
      <c r="G348" s="153"/>
      <c r="I348" s="465"/>
      <c r="AZ348" s="461"/>
    </row>
    <row r="349" spans="2:52" ht="14.25" customHeight="1">
      <c r="B349" s="154"/>
      <c r="C349" s="732"/>
      <c r="D349" s="732" t="s">
        <v>369</v>
      </c>
      <c r="E349" s="873">
        <f>ROUND(C245,-3)</f>
        <v>6915000</v>
      </c>
      <c r="F349" s="873">
        <f>ROUND(C333,-3)</f>
        <v>6915000</v>
      </c>
      <c r="G349" s="153"/>
      <c r="I349" s="465"/>
      <c r="AZ349" s="461"/>
    </row>
    <row r="350" spans="2:52" ht="14.25" customHeight="1">
      <c r="B350" s="154"/>
      <c r="C350" s="732"/>
      <c r="D350" s="732" t="s">
        <v>370</v>
      </c>
      <c r="E350" s="873">
        <f>ROUND(C246,-3)</f>
        <v>7371000</v>
      </c>
      <c r="F350" s="873">
        <f>ROUND(C334,-3)</f>
        <v>11563000</v>
      </c>
      <c r="G350" s="153"/>
      <c r="I350" s="465"/>
      <c r="AZ350" s="461"/>
    </row>
    <row r="351" spans="2:52" ht="14.25" customHeight="1">
      <c r="B351" s="154"/>
      <c r="C351" s="732"/>
      <c r="D351" s="732" t="s">
        <v>488</v>
      </c>
      <c r="E351" s="884">
        <f>C249</f>
        <v>4111</v>
      </c>
      <c r="F351" s="884">
        <f>C337</f>
        <v>6049</v>
      </c>
      <c r="G351" s="153"/>
      <c r="I351" s="465"/>
      <c r="AZ351" s="461"/>
    </row>
    <row r="352" spans="2:52" hidden="1">
      <c r="B352" s="154"/>
      <c r="C352" s="462"/>
      <c r="D352" s="462"/>
      <c r="E352" s="463"/>
      <c r="F352" s="464"/>
      <c r="G352" s="153"/>
      <c r="I352" s="465"/>
      <c r="AZ352" s="461"/>
    </row>
    <row r="353" spans="2:52" ht="59.25" hidden="1" customHeight="1">
      <c r="B353" s="154"/>
      <c r="C353" s="462"/>
      <c r="D353" s="462"/>
      <c r="E353" s="1085" t="s">
        <v>332</v>
      </c>
      <c r="F353" s="1085"/>
      <c r="G353" s="166" t="s">
        <v>345</v>
      </c>
      <c r="H353" s="478"/>
      <c r="I353" s="465"/>
      <c r="AZ353" s="461"/>
    </row>
    <row r="354" spans="2:52" s="128" customFormat="1" ht="18.75" hidden="1" customHeight="1">
      <c r="B354" s="154"/>
      <c r="C354" s="1086" t="s">
        <v>322</v>
      </c>
      <c r="D354" s="1086"/>
      <c r="E354" s="873">
        <f>MIN(E347:F347)</f>
        <v>14286000</v>
      </c>
      <c r="F354" s="873"/>
      <c r="G354" s="467">
        <f>'Revenues from REFERENCE Rates'!E40</f>
        <v>15408000</v>
      </c>
      <c r="H354" s="478"/>
      <c r="I354" s="466" t="s">
        <v>346</v>
      </c>
      <c r="J354" s="466"/>
      <c r="K354" s="466"/>
      <c r="L354" s="466"/>
      <c r="M354" s="195"/>
      <c r="N354" s="195"/>
      <c r="O354" s="195"/>
      <c r="P354" s="195"/>
      <c r="Q354" s="195"/>
      <c r="R354" s="195"/>
      <c r="S354" s="195"/>
      <c r="T354" s="195"/>
      <c r="U354" s="195"/>
      <c r="V354" s="195"/>
      <c r="W354" s="195"/>
      <c r="X354" s="195"/>
      <c r="Y354" s="195"/>
      <c r="Z354" s="195"/>
      <c r="AA354" s="195"/>
      <c r="AB354" s="195"/>
      <c r="AC354" s="195"/>
      <c r="AD354" s="195"/>
      <c r="AE354" s="195"/>
      <c r="AF354" s="195"/>
      <c r="AG354" s="195"/>
      <c r="AH354" s="195"/>
      <c r="AI354" s="195"/>
      <c r="AJ354" s="195"/>
      <c r="AK354" s="195"/>
      <c r="AL354" s="195"/>
      <c r="AM354" s="195"/>
    </row>
    <row r="355" spans="2:52" s="128" customFormat="1" ht="18.75" hidden="1" customHeight="1">
      <c r="B355" s="154"/>
      <c r="C355" s="1086" t="s">
        <v>323</v>
      </c>
      <c r="D355" s="1086"/>
      <c r="E355" s="873">
        <f>HLOOKUP(E$354,$E$347:$F$350,3,FALSE)</f>
        <v>6915000</v>
      </c>
      <c r="F355" s="875">
        <f>E355/E354</f>
        <v>0.48404031919361612</v>
      </c>
      <c r="G355" s="467">
        <f>'Revenues from REFERENCE Rates'!E41</f>
        <v>4322000</v>
      </c>
      <c r="H355" s="466"/>
      <c r="I355" s="468">
        <f>E354-G354</f>
        <v>-1122000</v>
      </c>
      <c r="J355" s="469">
        <f>I355/G354</f>
        <v>-7.2819314641744542E-2</v>
      </c>
      <c r="K355" s="466"/>
      <c r="L355" s="466"/>
      <c r="M355" s="195"/>
      <c r="N355" s="195"/>
      <c r="O355" s="195"/>
      <c r="P355" s="195"/>
      <c r="Q355" s="195"/>
      <c r="R355" s="195"/>
      <c r="S355" s="195"/>
      <c r="T355" s="195"/>
      <c r="U355" s="195"/>
      <c r="V355" s="195"/>
      <c r="W355" s="195"/>
      <c r="X355" s="195"/>
      <c r="Y355" s="195"/>
      <c r="Z355" s="195"/>
      <c r="AA355" s="195"/>
      <c r="AB355" s="195"/>
      <c r="AC355" s="195"/>
      <c r="AD355" s="195"/>
      <c r="AE355" s="195"/>
      <c r="AF355" s="195"/>
      <c r="AG355" s="195"/>
      <c r="AH355" s="195"/>
      <c r="AI355" s="195"/>
      <c r="AJ355" s="195"/>
      <c r="AK355" s="195"/>
      <c r="AL355" s="195"/>
      <c r="AM355" s="195"/>
    </row>
    <row r="356" spans="2:52" s="128" customFormat="1" ht="18.75" hidden="1" customHeight="1">
      <c r="B356" s="154"/>
      <c r="C356" s="1086" t="s">
        <v>324</v>
      </c>
      <c r="D356" s="1086"/>
      <c r="E356" s="873">
        <f>HLOOKUP(E$354,$E$347:$F$350,4,FALSE)</f>
        <v>7371000</v>
      </c>
      <c r="F356" s="875">
        <f>E356/E354</f>
        <v>0.51595968080638388</v>
      </c>
      <c r="G356" s="467">
        <f>'Revenues from REFERENCE Rates'!E42</f>
        <v>11086000</v>
      </c>
      <c r="H356" s="466"/>
      <c r="I356" s="470">
        <f>E355-G355</f>
        <v>2593000</v>
      </c>
      <c r="J356" s="471">
        <f>I356/G355</f>
        <v>0.59995372512725587</v>
      </c>
      <c r="K356" s="466"/>
      <c r="L356" s="466"/>
      <c r="M356" s="195"/>
      <c r="N356" s="195"/>
      <c r="O356" s="195"/>
      <c r="P356" s="195"/>
      <c r="Q356" s="195"/>
      <c r="R356" s="195"/>
      <c r="S356" s="195"/>
      <c r="T356" s="195"/>
      <c r="U356" s="195"/>
      <c r="V356" s="195"/>
      <c r="W356" s="195"/>
      <c r="X356" s="195"/>
      <c r="Y356" s="195"/>
      <c r="Z356" s="195"/>
      <c r="AA356" s="195"/>
      <c r="AB356" s="195"/>
      <c r="AC356" s="195"/>
      <c r="AD356" s="195"/>
      <c r="AE356" s="195"/>
      <c r="AF356" s="195"/>
      <c r="AG356" s="195"/>
      <c r="AH356" s="195"/>
      <c r="AI356" s="195"/>
      <c r="AJ356" s="195"/>
      <c r="AK356" s="195"/>
      <c r="AL356" s="195"/>
      <c r="AM356" s="195"/>
    </row>
    <row r="357" spans="2:52" s="128" customFormat="1" ht="15" hidden="1">
      <c r="B357" s="154"/>
      <c r="C357" s="462"/>
      <c r="D357" s="876"/>
      <c r="E357" s="873"/>
      <c r="F357" s="873"/>
      <c r="G357" s="192"/>
      <c r="H357" s="466"/>
      <c r="I357" s="470">
        <f>E356-G356</f>
        <v>-3715000</v>
      </c>
      <c r="J357" s="471">
        <f>I357/G356</f>
        <v>-0.33510734259426306</v>
      </c>
      <c r="K357" s="466"/>
      <c r="L357" s="466"/>
      <c r="M357" s="195"/>
      <c r="N357" s="195"/>
      <c r="O357" s="195"/>
      <c r="P357" s="195"/>
      <c r="Q357" s="195"/>
      <c r="R357" s="195"/>
      <c r="S357" s="195"/>
      <c r="T357" s="195"/>
      <c r="U357" s="195"/>
      <c r="V357" s="195"/>
      <c r="W357" s="195"/>
      <c r="X357" s="195"/>
      <c r="Y357" s="195"/>
      <c r="Z357" s="195"/>
      <c r="AA357" s="195"/>
      <c r="AB357" s="195"/>
      <c r="AC357" s="195"/>
      <c r="AD357" s="195"/>
      <c r="AE357" s="195"/>
      <c r="AF357" s="195"/>
      <c r="AG357" s="195"/>
      <c r="AH357" s="195"/>
      <c r="AI357" s="195"/>
      <c r="AJ357" s="195"/>
      <c r="AK357" s="195"/>
      <c r="AL357" s="195"/>
      <c r="AM357" s="195"/>
    </row>
    <row r="358" spans="2:52" s="128" customFormat="1" hidden="1">
      <c r="B358" s="154"/>
      <c r="C358" s="1086" t="s">
        <v>344</v>
      </c>
      <c r="D358" s="1086"/>
      <c r="E358" s="877">
        <f>HLOOKUP(E$354,$E$347:$F$351,5,FALSE)</f>
        <v>4111</v>
      </c>
      <c r="F358" s="874" t="s">
        <v>177</v>
      </c>
      <c r="G358" s="153"/>
      <c r="H358" s="466"/>
      <c r="I358" s="466"/>
      <c r="J358" s="466"/>
      <c r="K358" s="466"/>
      <c r="L358" s="466"/>
      <c r="M358" s="195"/>
      <c r="N358" s="195"/>
      <c r="O358" s="195"/>
      <c r="P358" s="195"/>
      <c r="Q358" s="195"/>
      <c r="R358" s="195"/>
      <c r="S358" s="195"/>
      <c r="T358" s="195"/>
      <c r="U358" s="195"/>
      <c r="V358" s="195"/>
      <c r="W358" s="195"/>
      <c r="X358" s="195"/>
      <c r="Y358" s="195"/>
      <c r="Z358" s="195"/>
      <c r="AA358" s="195"/>
      <c r="AB358" s="195"/>
      <c r="AC358" s="195"/>
      <c r="AD358" s="195"/>
      <c r="AE358" s="195"/>
      <c r="AF358" s="195"/>
      <c r="AG358" s="195"/>
      <c r="AH358" s="195"/>
      <c r="AI358" s="195"/>
      <c r="AJ358" s="195"/>
      <c r="AK358" s="195"/>
      <c r="AL358" s="195"/>
      <c r="AM358" s="195"/>
    </row>
    <row r="359" spans="2:52" s="128" customFormat="1" hidden="1">
      <c r="B359" s="154"/>
      <c r="C359" s="152"/>
      <c r="D359" s="152"/>
      <c r="E359" s="152"/>
      <c r="F359" s="152"/>
      <c r="G359" s="153"/>
      <c r="H359" s="466"/>
      <c r="I359" s="466"/>
      <c r="J359" s="466"/>
      <c r="K359" s="466"/>
      <c r="L359" s="466"/>
      <c r="M359" s="195"/>
      <c r="N359" s="195"/>
      <c r="O359" s="195"/>
      <c r="P359" s="195"/>
      <c r="Q359" s="195"/>
      <c r="R359" s="195"/>
      <c r="S359" s="195"/>
      <c r="T359" s="195"/>
      <c r="U359" s="195"/>
      <c r="V359" s="195"/>
      <c r="W359" s="195"/>
      <c r="X359" s="195"/>
      <c r="Y359" s="195"/>
      <c r="Z359" s="195"/>
      <c r="AA359" s="195"/>
      <c r="AB359" s="195"/>
      <c r="AC359" s="195"/>
      <c r="AD359" s="195"/>
      <c r="AE359" s="195"/>
      <c r="AF359" s="195"/>
      <c r="AG359" s="195"/>
      <c r="AH359" s="195"/>
      <c r="AI359" s="195"/>
      <c r="AJ359" s="195"/>
      <c r="AK359" s="195"/>
      <c r="AL359" s="195"/>
      <c r="AM359" s="195"/>
    </row>
    <row r="360" spans="2:52" s="128" customFormat="1" ht="51.75" hidden="1" customHeight="1">
      <c r="B360" s="154"/>
      <c r="C360" s="1101" t="s">
        <v>345</v>
      </c>
      <c r="D360" s="1101"/>
      <c r="E360" s="1102" t="s">
        <v>346</v>
      </c>
      <c r="F360" s="1102"/>
      <c r="G360" s="153"/>
      <c r="H360" s="466"/>
      <c r="I360" s="466"/>
      <c r="J360" s="466"/>
      <c r="K360" s="466"/>
      <c r="L360" s="466"/>
      <c r="M360" s="195"/>
      <c r="N360" s="195"/>
      <c r="O360" s="195"/>
      <c r="P360" s="195"/>
      <c r="Q360" s="195"/>
      <c r="R360" s="195"/>
      <c r="S360" s="195"/>
      <c r="T360" s="195"/>
      <c r="U360" s="195"/>
      <c r="V360" s="195"/>
      <c r="W360" s="195"/>
      <c r="X360" s="195"/>
      <c r="Y360" s="195"/>
      <c r="Z360" s="195"/>
      <c r="AA360" s="195"/>
      <c r="AB360" s="195"/>
      <c r="AC360" s="195"/>
      <c r="AD360" s="195"/>
      <c r="AE360" s="195"/>
      <c r="AF360" s="195"/>
      <c r="AG360" s="195"/>
      <c r="AH360" s="195"/>
      <c r="AI360" s="195"/>
      <c r="AJ360" s="195"/>
      <c r="AK360" s="195"/>
      <c r="AL360" s="195"/>
      <c r="AM360" s="195"/>
    </row>
    <row r="361" spans="2:52" s="128" customFormat="1" hidden="1">
      <c r="B361" s="154"/>
      <c r="C361" s="1098">
        <f>'Revenues from REFERENCE Rates'!E40</f>
        <v>15408000</v>
      </c>
      <c r="D361" s="1098"/>
      <c r="E361" s="878">
        <f>E354-G354</f>
        <v>-1122000</v>
      </c>
      <c r="F361" s="879">
        <f>I355/G354</f>
        <v>-7.2819314641744542E-2</v>
      </c>
      <c r="G361" s="153"/>
      <c r="H361" s="466"/>
      <c r="I361" s="466"/>
      <c r="J361" s="466"/>
      <c r="K361" s="466"/>
      <c r="L361" s="466"/>
      <c r="M361" s="195"/>
      <c r="N361" s="195"/>
      <c r="O361" s="195"/>
      <c r="P361" s="195"/>
      <c r="Q361" s="195"/>
      <c r="R361" s="195"/>
      <c r="S361" s="195"/>
      <c r="T361" s="195"/>
      <c r="U361" s="195"/>
      <c r="V361" s="195"/>
      <c r="W361" s="195"/>
      <c r="X361" s="195"/>
      <c r="Y361" s="195"/>
      <c r="Z361" s="195"/>
      <c r="AA361" s="195"/>
      <c r="AB361" s="195"/>
      <c r="AC361" s="195"/>
      <c r="AD361" s="195"/>
      <c r="AE361" s="195"/>
      <c r="AF361" s="195"/>
      <c r="AG361" s="195"/>
      <c r="AH361" s="195"/>
      <c r="AI361" s="195"/>
      <c r="AJ361" s="195"/>
      <c r="AK361" s="195"/>
      <c r="AL361" s="195"/>
      <c r="AM361" s="195"/>
    </row>
    <row r="362" spans="2:52" s="128" customFormat="1" hidden="1">
      <c r="B362" s="154"/>
      <c r="C362" s="1099">
        <f>'Revenues from REFERENCE Rates'!E41</f>
        <v>4322000</v>
      </c>
      <c r="D362" s="1099"/>
      <c r="E362" s="878">
        <f>E355-G355</f>
        <v>2593000</v>
      </c>
      <c r="F362" s="879">
        <f>I356/G355</f>
        <v>0.59995372512725587</v>
      </c>
      <c r="G362" s="153"/>
      <c r="H362" s="466"/>
      <c r="I362" s="466"/>
      <c r="J362" s="466"/>
      <c r="K362" s="466"/>
      <c r="L362" s="466"/>
      <c r="M362" s="195"/>
      <c r="N362" s="195"/>
      <c r="O362" s="195"/>
      <c r="P362" s="195"/>
      <c r="Q362" s="195"/>
      <c r="R362" s="195"/>
      <c r="S362" s="195"/>
      <c r="T362" s="195"/>
      <c r="U362" s="195"/>
      <c r="V362" s="195"/>
      <c r="W362" s="195"/>
      <c r="X362" s="195"/>
      <c r="Y362" s="195"/>
      <c r="Z362" s="195"/>
      <c r="AA362" s="195"/>
      <c r="AB362" s="195"/>
      <c r="AC362" s="195"/>
      <c r="AD362" s="195"/>
      <c r="AE362" s="195"/>
      <c r="AF362" s="195"/>
      <c r="AG362" s="195"/>
      <c r="AH362" s="195"/>
      <c r="AI362" s="195"/>
      <c r="AJ362" s="195"/>
      <c r="AK362" s="195"/>
      <c r="AL362" s="195"/>
      <c r="AM362" s="195"/>
    </row>
    <row r="363" spans="2:52" s="128" customFormat="1" hidden="1">
      <c r="B363" s="154"/>
      <c r="C363" s="1099">
        <f>'Revenues from REFERENCE Rates'!E42</f>
        <v>11086000</v>
      </c>
      <c r="D363" s="1099"/>
      <c r="E363" s="878">
        <f>E356-G356</f>
        <v>-3715000</v>
      </c>
      <c r="F363" s="879">
        <f>I357/G356</f>
        <v>-0.33510734259426306</v>
      </c>
      <c r="G363" s="153"/>
      <c r="H363" s="466"/>
      <c r="I363" s="466"/>
      <c r="J363" s="466"/>
      <c r="K363" s="466"/>
      <c r="L363" s="466"/>
      <c r="M363" s="195"/>
      <c r="N363" s="195"/>
      <c r="O363" s="195"/>
      <c r="P363" s="195"/>
      <c r="Q363" s="195"/>
      <c r="R363" s="195"/>
      <c r="S363" s="195"/>
      <c r="T363" s="195"/>
      <c r="U363" s="195"/>
      <c r="V363" s="195"/>
      <c r="W363" s="195"/>
      <c r="X363" s="195"/>
      <c r="Y363" s="195"/>
      <c r="Z363" s="195"/>
      <c r="AA363" s="195"/>
      <c r="AB363" s="195"/>
      <c r="AC363" s="195"/>
      <c r="AD363" s="195"/>
      <c r="AE363" s="195"/>
      <c r="AF363" s="195"/>
      <c r="AG363" s="195"/>
      <c r="AH363" s="195"/>
      <c r="AI363" s="195"/>
      <c r="AJ363" s="195"/>
      <c r="AK363" s="195"/>
      <c r="AL363" s="195"/>
      <c r="AM363" s="195"/>
    </row>
    <row r="364" spans="2:52" s="128" customFormat="1" hidden="1">
      <c r="B364" s="154"/>
      <c r="C364" s="152"/>
      <c r="D364" s="152"/>
      <c r="E364" s="152"/>
      <c r="F364" s="152"/>
      <c r="G364" s="153"/>
      <c r="H364" s="466"/>
      <c r="I364" s="466"/>
      <c r="J364" s="466"/>
      <c r="K364" s="466"/>
      <c r="L364" s="466"/>
      <c r="M364" s="195"/>
      <c r="N364" s="195"/>
      <c r="O364" s="195"/>
      <c r="P364" s="195"/>
      <c r="Q364" s="195"/>
      <c r="R364" s="195"/>
      <c r="S364" s="195"/>
      <c r="T364" s="195"/>
      <c r="U364" s="195"/>
      <c r="V364" s="195"/>
      <c r="W364" s="195"/>
      <c r="X364" s="195"/>
      <c r="Y364" s="195"/>
      <c r="Z364" s="195"/>
      <c r="AA364" s="195"/>
      <c r="AB364" s="195"/>
      <c r="AC364" s="195"/>
      <c r="AD364" s="195"/>
      <c r="AE364" s="195"/>
      <c r="AF364" s="195"/>
      <c r="AG364" s="195"/>
      <c r="AH364" s="195"/>
      <c r="AI364" s="195"/>
      <c r="AJ364" s="195"/>
      <c r="AK364" s="195"/>
      <c r="AL364" s="195"/>
      <c r="AM364" s="195"/>
    </row>
    <row r="365" spans="2:52" s="128" customFormat="1" ht="15" thickBot="1">
      <c r="B365" s="168"/>
      <c r="C365" s="160"/>
      <c r="D365" s="160"/>
      <c r="E365" s="160"/>
      <c r="F365" s="160"/>
      <c r="G365" s="472"/>
      <c r="H365" s="195"/>
      <c r="I365" s="466"/>
      <c r="J365" s="466"/>
      <c r="K365" s="466"/>
      <c r="L365" s="466"/>
      <c r="M365" s="195"/>
      <c r="N365" s="195"/>
      <c r="O365" s="195"/>
      <c r="P365" s="195"/>
      <c r="Q365" s="195"/>
      <c r="R365" s="195"/>
      <c r="S365" s="195"/>
      <c r="T365" s="195"/>
      <c r="U365" s="195"/>
      <c r="V365" s="195"/>
      <c r="W365" s="195"/>
      <c r="X365" s="195"/>
      <c r="Y365" s="195"/>
      <c r="Z365" s="195"/>
      <c r="AA365" s="195"/>
      <c r="AB365" s="195"/>
      <c r="AC365" s="195"/>
      <c r="AD365" s="195"/>
      <c r="AE365" s="195"/>
      <c r="AF365" s="195"/>
      <c r="AG365" s="195"/>
      <c r="AH365" s="195"/>
      <c r="AI365" s="195"/>
      <c r="AJ365" s="195"/>
      <c r="AK365" s="195"/>
      <c r="AL365" s="195"/>
      <c r="AM365" s="195"/>
    </row>
    <row r="366" spans="2:52" s="128" customFormat="1">
      <c r="H366" s="195"/>
      <c r="I366" s="195"/>
      <c r="J366" s="195"/>
      <c r="K366" s="195"/>
      <c r="L366" s="195"/>
      <c r="M366" s="195"/>
      <c r="N366" s="195"/>
      <c r="O366" s="195"/>
      <c r="P366" s="195"/>
      <c r="Q366" s="195"/>
      <c r="R366" s="195"/>
      <c r="S366" s="195"/>
      <c r="T366" s="195"/>
      <c r="U366" s="195"/>
      <c r="V366" s="195"/>
      <c r="W366" s="195"/>
      <c r="X366" s="195"/>
      <c r="Y366" s="195"/>
      <c r="Z366" s="195"/>
      <c r="AA366" s="195"/>
      <c r="AB366" s="195"/>
      <c r="AC366" s="195"/>
      <c r="AD366" s="195"/>
      <c r="AE366" s="195"/>
      <c r="AF366" s="195"/>
      <c r="AG366" s="195"/>
      <c r="AH366" s="195"/>
      <c r="AI366" s="195"/>
      <c r="AJ366" s="195"/>
      <c r="AK366" s="195"/>
      <c r="AL366" s="195"/>
      <c r="AM366" s="195"/>
    </row>
    <row r="367" spans="2:52" s="195" customFormat="1">
      <c r="B367" s="1100"/>
      <c r="C367" s="1100"/>
      <c r="D367" s="1100"/>
      <c r="E367" s="1100"/>
      <c r="F367" s="1100"/>
      <c r="G367" s="1100"/>
      <c r="H367" s="552"/>
      <c r="I367" s="552"/>
      <c r="J367" s="552"/>
      <c r="K367" s="552"/>
      <c r="L367" s="552"/>
      <c r="M367" s="552"/>
      <c r="N367" s="552"/>
    </row>
    <row r="368" spans="2:52" s="195" customFormat="1">
      <c r="C368" s="195">
        <f>C317</f>
        <v>0</v>
      </c>
      <c r="D368" s="195" t="str">
        <f>D317</f>
        <v>1 - 1000</v>
      </c>
      <c r="E368" s="195" t="str">
        <f>E317</f>
        <v>1001 - 2000</v>
      </c>
      <c r="F368" s="195" t="str">
        <f>F317</f>
        <v>2001 - 3000</v>
      </c>
      <c r="G368" s="195" t="str">
        <f>G317</f>
        <v>3001 - 4000</v>
      </c>
    </row>
    <row r="369" spans="2:29" s="195" customFormat="1">
      <c r="B369" s="195" t="s">
        <v>275</v>
      </c>
      <c r="C369" s="553">
        <f>IF($E$354=$E$347,C233,C321)</f>
        <v>7.7546005740378038E-2</v>
      </c>
      <c r="D369" s="553">
        <f>IF($E$354=$E$347,D233,D321)</f>
        <v>9.5422824551984933E-2</v>
      </c>
      <c r="E369" s="553">
        <f>IF($E$354=$E$347,E233,E321)</f>
        <v>0.13435187098853535</v>
      </c>
      <c r="F369" s="553">
        <f>IF($E$354=$E$347,F233,F321)</f>
        <v>0.27329396228364011</v>
      </c>
      <c r="G369" s="553">
        <f>IF($E$354=$E$347,G233,G321)</f>
        <v>0.12708871446275105</v>
      </c>
      <c r="H369" s="195" t="str">
        <f t="shared" ref="H369:AC369" si="133">H317</f>
        <v>4001 - 5000</v>
      </c>
      <c r="I369" s="195" t="str">
        <f t="shared" si="133"/>
        <v>5001 - 6000</v>
      </c>
      <c r="J369" s="195" t="str">
        <f t="shared" si="133"/>
        <v>6001 - 7000</v>
      </c>
      <c r="K369" s="195" t="str">
        <f t="shared" si="133"/>
        <v>7001 - 8000</v>
      </c>
      <c r="L369" s="195" t="str">
        <f t="shared" si="133"/>
        <v>8001 - 9000</v>
      </c>
      <c r="M369" s="195" t="str">
        <f t="shared" si="133"/>
        <v>9001 - 10000</v>
      </c>
      <c r="N369" s="195" t="str">
        <f t="shared" si="133"/>
        <v>10001 - 11000</v>
      </c>
      <c r="O369" s="195" t="str">
        <f t="shared" si="133"/>
        <v>11001 - 12000</v>
      </c>
      <c r="P369" s="195" t="str">
        <f t="shared" si="133"/>
        <v>12001 - 13000</v>
      </c>
      <c r="Q369" s="195" t="str">
        <f t="shared" si="133"/>
        <v>13001 - 14000</v>
      </c>
      <c r="R369" s="195" t="str">
        <f t="shared" si="133"/>
        <v>14001 - 15000</v>
      </c>
      <c r="S369" s="195" t="str">
        <f t="shared" si="133"/>
        <v>15001 - 16000</v>
      </c>
      <c r="T369" s="195" t="str">
        <f t="shared" si="133"/>
        <v>16001 - 17000</v>
      </c>
      <c r="U369" s="195" t="str">
        <f t="shared" si="133"/>
        <v>17001 - 18000</v>
      </c>
      <c r="V369" s="195" t="str">
        <f t="shared" si="133"/>
        <v>18001 - 19000</v>
      </c>
      <c r="W369" s="195" t="str">
        <f t="shared" si="133"/>
        <v>19001 - 20000</v>
      </c>
      <c r="X369" s="195" t="str">
        <f t="shared" si="133"/>
        <v>20001 - 21000</v>
      </c>
      <c r="Y369" s="195" t="str">
        <f t="shared" si="133"/>
        <v>21001 - 22000</v>
      </c>
      <c r="Z369" s="195" t="str">
        <f t="shared" si="133"/>
        <v>22001 - 23000</v>
      </c>
      <c r="AA369" s="195" t="str">
        <f t="shared" si="133"/>
        <v>23001 - 24000</v>
      </c>
      <c r="AB369" s="195" t="str">
        <f t="shared" si="133"/>
        <v>24001 - 25000</v>
      </c>
      <c r="AC369" s="195" t="str">
        <f t="shared" si="133"/>
        <v>&gt;25,000</v>
      </c>
    </row>
    <row r="370" spans="2:29" s="195" customFormat="1">
      <c r="H370" s="553">
        <f t="shared" ref="H370:AC370" si="134">IF($E$354=$E$347,H233,H321)</f>
        <v>8.7135623580330182E-2</v>
      </c>
      <c r="I370" s="553">
        <f t="shared" si="134"/>
        <v>5.8436032532693756E-2</v>
      </c>
      <c r="J370" s="553">
        <f t="shared" si="134"/>
        <v>3.3924188631094337E-2</v>
      </c>
      <c r="K370" s="553">
        <f t="shared" si="134"/>
        <v>2.4452720401850675E-2</v>
      </c>
      <c r="L370" s="553">
        <f t="shared" si="134"/>
        <v>1.7776263929191263E-2</v>
      </c>
      <c r="M370" s="553">
        <f t="shared" si="134"/>
        <v>1.1356179524905965E-2</v>
      </c>
      <c r="N370" s="553">
        <f t="shared" si="134"/>
        <v>9.4084207351817929E-3</v>
      </c>
      <c r="O370" s="553">
        <f t="shared" si="134"/>
        <v>7.5729173481030249E-3</v>
      </c>
      <c r="P370" s="553">
        <f t="shared" si="134"/>
        <v>5.4899137594682478E-3</v>
      </c>
      <c r="Q370" s="553">
        <f t="shared" si="134"/>
        <v>4.9048430427911854E-3</v>
      </c>
      <c r="R370" s="553">
        <f t="shared" si="134"/>
        <v>4.3413338873248847E-3</v>
      </c>
      <c r="S370" s="553">
        <f t="shared" si="134"/>
        <v>4.2307047140383068E-3</v>
      </c>
      <c r="T370" s="553">
        <f t="shared" si="134"/>
        <v>3.9776359830757512E-3</v>
      </c>
      <c r="U370" s="553">
        <f t="shared" si="134"/>
        <v>3.6017713530201302E-3</v>
      </c>
      <c r="V370" s="553">
        <f t="shared" si="134"/>
        <v>2.291963694858457E-3</v>
      </c>
      <c r="W370" s="553">
        <f t="shared" si="134"/>
        <v>6.0654300709877542E-4</v>
      </c>
      <c r="X370" s="553">
        <f t="shared" si="134"/>
        <v>6.0654300709877542E-4</v>
      </c>
      <c r="Y370" s="553">
        <f t="shared" si="134"/>
        <v>6.0654300709864066E-4</v>
      </c>
      <c r="Z370" s="553">
        <f t="shared" si="134"/>
        <v>6.0654300709877542E-4</v>
      </c>
      <c r="AA370" s="553">
        <f t="shared" si="134"/>
        <v>6.0654300709877542E-4</v>
      </c>
      <c r="AB370" s="553">
        <f t="shared" si="134"/>
        <v>6.0654300709864066E-4</v>
      </c>
      <c r="AC370" s="553">
        <f t="shared" si="134"/>
        <v>9.7568508121901616E-3</v>
      </c>
    </row>
    <row r="371" spans="2:29" s="195" customFormat="1">
      <c r="B371" s="466" t="s">
        <v>206</v>
      </c>
      <c r="C371" s="195" t="s">
        <v>496</v>
      </c>
    </row>
    <row r="372" spans="2:29" s="195" customFormat="1">
      <c r="B372" s="466"/>
      <c r="C372" s="195" t="str">
        <f>"Under COMPARATIVE rates and within the full spectrum of weather patterns that may influence residential water use levels"</f>
        <v>Under COMPARATIVE rates and within the full spectrum of weather patterns that may influence residential water use levels</v>
      </c>
    </row>
    <row r="373" spans="2:29" s="195" customFormat="1"/>
    <row r="374" spans="2:29" s="195" customFormat="1">
      <c r="B374" s="195" t="s">
        <v>202</v>
      </c>
    </row>
    <row r="375" spans="2:29" s="195" customFormat="1">
      <c r="B375" s="195" t="s">
        <v>203</v>
      </c>
      <c r="C375" s="203">
        <f>MIN(E347:F347)</f>
        <v>14286000</v>
      </c>
      <c r="E375" s="203">
        <f>MIN(E347:F347)</f>
        <v>14286000</v>
      </c>
      <c r="F375" s="203">
        <f>C384-E375</f>
        <v>1122000</v>
      </c>
    </row>
    <row r="376" spans="2:29" s="195" customFormat="1">
      <c r="B376" s="195" t="s">
        <v>204</v>
      </c>
      <c r="C376" s="203">
        <f>MAX(E347:F347)-C375</f>
        <v>4192000</v>
      </c>
      <c r="E376" s="203">
        <f>MAX(E347:F347)</f>
        <v>18478000</v>
      </c>
      <c r="F376" s="203">
        <f>C384-E376</f>
        <v>-3070000</v>
      </c>
    </row>
    <row r="377" spans="2:29" s="195" customFormat="1">
      <c r="B377" s="195" t="s">
        <v>205</v>
      </c>
    </row>
    <row r="378" spans="2:29" s="195" customFormat="1">
      <c r="B378" s="195" t="str">
        <f>C371</f>
        <v>Under REFERENCE rates and weather patterns of the reference year</v>
      </c>
      <c r="C378" s="203">
        <f>G354</f>
        <v>15408000</v>
      </c>
    </row>
    <row r="379" spans="2:29" s="888" customFormat="1">
      <c r="B379" s="195" t="s">
        <v>347</v>
      </c>
      <c r="C379" s="203"/>
      <c r="D379" s="195"/>
      <c r="E379" s="195"/>
      <c r="F379" s="195"/>
      <c r="G379" s="195"/>
    </row>
    <row r="380" spans="2:29" s="888" customFormat="1">
      <c r="B380" s="195"/>
      <c r="C380" s="195"/>
      <c r="D380" s="195"/>
      <c r="E380" s="195"/>
      <c r="F380" s="195"/>
      <c r="G380" s="195"/>
    </row>
    <row r="381" spans="2:29" s="888" customFormat="1">
      <c r="B381" s="195" t="s">
        <v>349</v>
      </c>
      <c r="C381" s="203">
        <f>'Revenues from COMPARATIVE Rates'!E115</f>
        <v>16419000</v>
      </c>
      <c r="D381" s="195"/>
      <c r="E381" s="195"/>
      <c r="F381" s="195"/>
      <c r="G381" s="195"/>
    </row>
    <row r="382" spans="2:29" s="888" customFormat="1">
      <c r="B382" s="195"/>
      <c r="C382" s="195"/>
      <c r="D382" s="195"/>
      <c r="E382" s="195"/>
      <c r="F382" s="195"/>
      <c r="G382" s="195"/>
    </row>
    <row r="383" spans="2:29" s="888" customFormat="1">
      <c r="B383" s="195" t="s">
        <v>207</v>
      </c>
      <c r="C383" s="195"/>
      <c r="D383" s="195"/>
      <c r="E383" s="195"/>
      <c r="F383" s="195"/>
      <c r="G383" s="195"/>
    </row>
    <row r="384" spans="2:29" s="888" customFormat="1">
      <c r="B384" s="195" t="s">
        <v>348</v>
      </c>
      <c r="C384" s="203">
        <f>C378</f>
        <v>15408000</v>
      </c>
      <c r="D384" s="195"/>
      <c r="E384" s="195"/>
      <c r="F384" s="195"/>
      <c r="G384" s="195"/>
    </row>
    <row r="385" spans="2:51" s="888" customFormat="1">
      <c r="B385" s="195"/>
      <c r="C385" s="195"/>
      <c r="D385" s="553"/>
      <c r="E385" s="195"/>
      <c r="F385" s="195"/>
      <c r="G385" s="195"/>
    </row>
    <row r="386" spans="2:51" s="888" customFormat="1">
      <c r="B386" s="195" t="s">
        <v>491</v>
      </c>
      <c r="C386" s="203">
        <f>IF(E376&gt;C381,E376-C381,0)</f>
        <v>2059000</v>
      </c>
      <c r="D386" s="553">
        <f>C386/$C$384</f>
        <v>0.1336318795430945</v>
      </c>
      <c r="E386" s="195"/>
      <c r="F386" s="195"/>
      <c r="G386" s="195"/>
    </row>
    <row r="387" spans="2:51" s="888" customFormat="1">
      <c r="B387" s="195"/>
      <c r="C387" s="203"/>
      <c r="D387" s="553"/>
      <c r="E387" s="195"/>
      <c r="F387" s="195"/>
      <c r="G387" s="195"/>
    </row>
    <row r="388" spans="2:51" s="888" customFormat="1">
      <c r="B388" s="195"/>
      <c r="C388" s="554"/>
      <c r="D388" s="553"/>
      <c r="E388" s="195"/>
      <c r="F388" s="195"/>
      <c r="G388" s="195"/>
    </row>
    <row r="389" spans="2:51" s="888" customFormat="1">
      <c r="B389" s="195" t="s">
        <v>492</v>
      </c>
      <c r="C389" s="203">
        <f>IF(E375&lt;C381,C381-E375,0)</f>
        <v>2133000</v>
      </c>
      <c r="D389" s="553">
        <f>C389/$C$384</f>
        <v>0.13843457943925233</v>
      </c>
      <c r="E389" s="203">
        <f>IF(C375&lt;C384,C384-C375,0)</f>
        <v>1122000</v>
      </c>
      <c r="F389" s="195" t="s">
        <v>78</v>
      </c>
      <c r="G389" s="195"/>
    </row>
    <row r="390" spans="2:51" s="888" customFormat="1">
      <c r="B390" s="195" t="s">
        <v>490</v>
      </c>
      <c r="C390" s="203">
        <f>C381-C389</f>
        <v>14286000</v>
      </c>
      <c r="D390" s="553">
        <f t="shared" ref="D390" si="135">C390/$C$384</f>
        <v>0.92718068535825549</v>
      </c>
      <c r="E390" s="195"/>
      <c r="F390" s="195"/>
      <c r="G390" s="195"/>
    </row>
    <row r="391" spans="2:51" s="888" customFormat="1">
      <c r="B391" s="466"/>
      <c r="C391" s="466"/>
      <c r="D391" s="466"/>
      <c r="E391" s="466"/>
      <c r="F391" s="466"/>
      <c r="G391" s="465"/>
    </row>
    <row r="392" spans="2:51" s="466" customFormat="1">
      <c r="G392" s="465"/>
      <c r="H392" s="465"/>
      <c r="AY392" s="473"/>
    </row>
    <row r="393" spans="2:51" s="494" customFormat="1">
      <c r="B393" s="466"/>
      <c r="C393" s="466"/>
      <c r="D393" s="466"/>
      <c r="E393" s="466"/>
      <c r="F393" s="466"/>
      <c r="G393" s="465"/>
      <c r="H393" s="465"/>
      <c r="I393" s="466"/>
      <c r="J393" s="466"/>
      <c r="K393" s="466"/>
      <c r="L393" s="466"/>
      <c r="M393" s="466"/>
      <c r="N393" s="466"/>
      <c r="O393" s="466"/>
      <c r="P393" s="466"/>
      <c r="Q393" s="466"/>
      <c r="R393" s="466"/>
      <c r="S393" s="466"/>
      <c r="T393" s="466"/>
      <c r="U393" s="466"/>
      <c r="V393" s="466"/>
      <c r="W393" s="466"/>
      <c r="X393" s="466"/>
      <c r="Y393" s="466"/>
      <c r="Z393" s="466"/>
      <c r="AA393" s="466"/>
      <c r="AB393" s="466"/>
      <c r="AC393" s="466"/>
      <c r="AD393" s="466"/>
      <c r="AE393" s="466"/>
      <c r="AF393" s="466"/>
      <c r="AG393" s="466"/>
      <c r="AH393" s="466"/>
      <c r="AI393" s="466"/>
      <c r="AJ393" s="466"/>
      <c r="AK393" s="466"/>
      <c r="AL393" s="466"/>
      <c r="AM393" s="466"/>
      <c r="AY393" s="496"/>
    </row>
    <row r="394" spans="2:51" s="494" customFormat="1">
      <c r="G394" s="495"/>
      <c r="H394" s="465"/>
      <c r="I394" s="466"/>
      <c r="J394" s="466"/>
      <c r="K394" s="466"/>
      <c r="L394" s="466"/>
      <c r="M394" s="466"/>
      <c r="N394" s="466"/>
      <c r="O394" s="466"/>
      <c r="P394" s="466"/>
      <c r="Q394" s="466"/>
      <c r="R394" s="466"/>
      <c r="S394" s="466"/>
      <c r="T394" s="466"/>
      <c r="U394" s="466"/>
      <c r="V394" s="466"/>
      <c r="W394" s="466"/>
      <c r="X394" s="466"/>
      <c r="Y394" s="466"/>
      <c r="Z394" s="466"/>
      <c r="AA394" s="466"/>
      <c r="AB394" s="466"/>
      <c r="AC394" s="466"/>
      <c r="AD394" s="466"/>
      <c r="AE394" s="466"/>
      <c r="AF394" s="466"/>
      <c r="AG394" s="466"/>
      <c r="AH394" s="466"/>
      <c r="AI394" s="466"/>
      <c r="AJ394" s="466"/>
      <c r="AK394" s="466"/>
      <c r="AL394" s="466"/>
      <c r="AM394" s="466"/>
      <c r="AY394" s="496"/>
    </row>
    <row r="395" spans="2:51" s="466" customFormat="1">
      <c r="G395" s="465"/>
      <c r="H395" s="465"/>
      <c r="AY395" s="473"/>
    </row>
    <row r="396" spans="2:51" s="466" customFormat="1">
      <c r="G396" s="465"/>
      <c r="H396" s="465"/>
      <c r="AY396" s="473"/>
    </row>
    <row r="397" spans="2:51" s="466" customFormat="1">
      <c r="G397" s="465"/>
      <c r="H397" s="465"/>
      <c r="AY397" s="473"/>
    </row>
    <row r="398" spans="2:51" s="466" customFormat="1">
      <c r="G398" s="465"/>
      <c r="H398" s="465"/>
      <c r="AY398" s="473"/>
    </row>
    <row r="399" spans="2:51" s="466" customFormat="1">
      <c r="G399" s="465"/>
      <c r="H399" s="465"/>
      <c r="AY399" s="473"/>
    </row>
    <row r="400" spans="2:51" s="466" customFormat="1">
      <c r="G400" s="465"/>
      <c r="H400" s="465"/>
      <c r="AY400" s="473"/>
    </row>
    <row r="401" spans="7:51" s="466" customFormat="1">
      <c r="G401" s="465"/>
      <c r="H401" s="465"/>
      <c r="AY401" s="473"/>
    </row>
    <row r="402" spans="7:51" s="466" customFormat="1">
      <c r="G402" s="465"/>
      <c r="H402" s="465"/>
      <c r="AY402" s="473"/>
    </row>
    <row r="403" spans="7:51" s="466" customFormat="1">
      <c r="G403" s="465"/>
      <c r="H403" s="465"/>
      <c r="AY403" s="473"/>
    </row>
    <row r="404" spans="7:51" s="466" customFormat="1">
      <c r="G404" s="465"/>
      <c r="H404" s="465"/>
      <c r="AY404" s="473"/>
    </row>
    <row r="405" spans="7:51" s="466" customFormat="1">
      <c r="G405" s="465"/>
      <c r="H405" s="465"/>
      <c r="AY405" s="473"/>
    </row>
    <row r="406" spans="7:51" s="466" customFormat="1">
      <c r="G406" s="465"/>
      <c r="H406" s="465"/>
      <c r="AY406" s="473"/>
    </row>
    <row r="407" spans="7:51" s="466" customFormat="1">
      <c r="G407" s="465"/>
      <c r="H407" s="465"/>
      <c r="AY407" s="473"/>
    </row>
    <row r="408" spans="7:51" s="466" customFormat="1">
      <c r="G408" s="465"/>
      <c r="H408" s="465"/>
      <c r="AY408" s="473"/>
    </row>
    <row r="409" spans="7:51" s="466" customFormat="1">
      <c r="G409" s="465"/>
      <c r="H409" s="465"/>
      <c r="AY409" s="473"/>
    </row>
    <row r="410" spans="7:51" s="466" customFormat="1">
      <c r="G410" s="465"/>
      <c r="H410" s="465"/>
      <c r="AY410" s="473"/>
    </row>
    <row r="411" spans="7:51" s="466" customFormat="1">
      <c r="G411" s="465"/>
      <c r="H411" s="465"/>
      <c r="AY411" s="473"/>
    </row>
    <row r="412" spans="7:51" s="466" customFormat="1">
      <c r="H412" s="465"/>
      <c r="AY412" s="473"/>
    </row>
    <row r="413" spans="7:51" s="466" customFormat="1">
      <c r="AY413" s="473"/>
    </row>
    <row r="414" spans="7:51" s="466" customFormat="1">
      <c r="AY414" s="473"/>
    </row>
    <row r="415" spans="7:51" s="466" customFormat="1">
      <c r="AY415" s="473"/>
    </row>
    <row r="416" spans="7:51" s="466" customFormat="1">
      <c r="AY416" s="473"/>
    </row>
    <row r="417" spans="51:51" s="466" customFormat="1">
      <c r="AY417" s="473"/>
    </row>
    <row r="418" spans="51:51" s="466" customFormat="1">
      <c r="AY418" s="473"/>
    </row>
    <row r="419" spans="51:51" s="466" customFormat="1">
      <c r="AY419" s="473"/>
    </row>
    <row r="420" spans="51:51" s="466" customFormat="1">
      <c r="AY420" s="473"/>
    </row>
    <row r="421" spans="51:51" s="466" customFormat="1">
      <c r="AY421" s="473"/>
    </row>
    <row r="422" spans="51:51" s="466" customFormat="1">
      <c r="AY422" s="473"/>
    </row>
    <row r="423" spans="51:51" s="466" customFormat="1">
      <c r="AY423" s="473"/>
    </row>
    <row r="424" spans="51:51" s="466" customFormat="1">
      <c r="AY424" s="473"/>
    </row>
    <row r="425" spans="51:51" s="466" customFormat="1">
      <c r="AY425" s="473"/>
    </row>
    <row r="426" spans="51:51" s="466" customFormat="1">
      <c r="AY426" s="473"/>
    </row>
    <row r="427" spans="51:51" s="466" customFormat="1">
      <c r="AY427" s="473"/>
    </row>
    <row r="428" spans="51:51" s="466" customFormat="1">
      <c r="AY428" s="473"/>
    </row>
    <row r="429" spans="51:51" s="466" customFormat="1">
      <c r="AY429" s="473"/>
    </row>
    <row r="430" spans="51:51" s="466" customFormat="1">
      <c r="AY430" s="473"/>
    </row>
    <row r="431" spans="51:51" s="466" customFormat="1">
      <c r="AY431" s="473"/>
    </row>
    <row r="432" spans="51:51" s="466" customFormat="1">
      <c r="AY432" s="473"/>
    </row>
    <row r="433" spans="51:51" s="466" customFormat="1">
      <c r="AY433" s="473"/>
    </row>
    <row r="434" spans="51:51" s="466" customFormat="1">
      <c r="AY434" s="473"/>
    </row>
    <row r="435" spans="51:51" s="466" customFormat="1">
      <c r="AY435" s="473"/>
    </row>
    <row r="436" spans="51:51" s="466" customFormat="1">
      <c r="AY436" s="473"/>
    </row>
    <row r="437" spans="51:51" s="466" customFormat="1">
      <c r="AY437" s="473"/>
    </row>
    <row r="438" spans="51:51" s="466" customFormat="1">
      <c r="AY438" s="473"/>
    </row>
    <row r="439" spans="51:51" s="466" customFormat="1">
      <c r="AY439" s="473"/>
    </row>
    <row r="440" spans="51:51" s="466" customFormat="1">
      <c r="AY440" s="473"/>
    </row>
    <row r="441" spans="51:51" s="466" customFormat="1">
      <c r="AY441" s="473"/>
    </row>
    <row r="442" spans="51:51" s="466" customFormat="1">
      <c r="AY442" s="473"/>
    </row>
    <row r="443" spans="51:51" s="466" customFormat="1">
      <c r="AY443" s="473"/>
    </row>
    <row r="444" spans="51:51" s="466" customFormat="1">
      <c r="AY444" s="473"/>
    </row>
    <row r="445" spans="51:51" s="466" customFormat="1">
      <c r="AY445" s="473"/>
    </row>
    <row r="446" spans="51:51" s="466" customFormat="1">
      <c r="AY446" s="473"/>
    </row>
    <row r="447" spans="51:51" s="466" customFormat="1">
      <c r="AY447" s="473"/>
    </row>
    <row r="448" spans="51:51" s="466" customFormat="1">
      <c r="AY448" s="473"/>
    </row>
    <row r="449" spans="51:51" s="466" customFormat="1">
      <c r="AY449" s="473"/>
    </row>
    <row r="450" spans="51:51" s="466" customFormat="1">
      <c r="AY450" s="473"/>
    </row>
    <row r="451" spans="51:51" s="466" customFormat="1">
      <c r="AY451" s="473"/>
    </row>
    <row r="452" spans="51:51" s="466" customFormat="1">
      <c r="AY452" s="473"/>
    </row>
    <row r="453" spans="51:51" s="466" customFormat="1">
      <c r="AY453" s="473"/>
    </row>
    <row r="454" spans="51:51" s="466" customFormat="1">
      <c r="AY454" s="473"/>
    </row>
    <row r="455" spans="51:51" s="466" customFormat="1">
      <c r="AY455" s="473"/>
    </row>
    <row r="456" spans="51:51" s="466" customFormat="1">
      <c r="AY456" s="473"/>
    </row>
    <row r="457" spans="51:51" s="466" customFormat="1">
      <c r="AY457" s="473"/>
    </row>
    <row r="458" spans="51:51" s="466" customFormat="1">
      <c r="AY458" s="473"/>
    </row>
    <row r="459" spans="51:51" s="466" customFormat="1">
      <c r="AY459" s="473"/>
    </row>
    <row r="460" spans="51:51" s="466" customFormat="1">
      <c r="AY460" s="473"/>
    </row>
    <row r="461" spans="51:51" s="466" customFormat="1">
      <c r="AY461" s="473"/>
    </row>
    <row r="462" spans="51:51" s="466" customFormat="1">
      <c r="AY462" s="473"/>
    </row>
    <row r="463" spans="51:51" s="466" customFormat="1">
      <c r="AY463" s="473"/>
    </row>
    <row r="464" spans="51:51" s="466" customFormat="1">
      <c r="AY464" s="473"/>
    </row>
    <row r="465" spans="51:51" s="466" customFormat="1">
      <c r="AY465" s="473"/>
    </row>
    <row r="466" spans="51:51" s="466" customFormat="1">
      <c r="AY466" s="473"/>
    </row>
    <row r="467" spans="51:51" s="466" customFormat="1">
      <c r="AY467" s="473"/>
    </row>
    <row r="468" spans="51:51" s="466" customFormat="1">
      <c r="AY468" s="473"/>
    </row>
    <row r="469" spans="51:51" s="466" customFormat="1">
      <c r="AY469" s="473"/>
    </row>
    <row r="470" spans="51:51" s="466" customFormat="1">
      <c r="AY470" s="473"/>
    </row>
    <row r="471" spans="51:51" s="466" customFormat="1">
      <c r="AY471" s="473"/>
    </row>
    <row r="472" spans="51:51" s="466" customFormat="1">
      <c r="AY472" s="473"/>
    </row>
    <row r="473" spans="51:51" s="466" customFormat="1">
      <c r="AY473" s="473"/>
    </row>
    <row r="474" spans="51:51" s="466" customFormat="1">
      <c r="AY474" s="473"/>
    </row>
    <row r="475" spans="51:51" s="466" customFormat="1">
      <c r="AY475" s="473"/>
    </row>
    <row r="476" spans="51:51" s="466" customFormat="1">
      <c r="AY476" s="473"/>
    </row>
    <row r="477" spans="51:51" s="466" customFormat="1">
      <c r="AY477" s="473"/>
    </row>
    <row r="478" spans="51:51" s="466" customFormat="1">
      <c r="AY478" s="473"/>
    </row>
    <row r="479" spans="51:51" s="466" customFormat="1">
      <c r="AY479" s="473"/>
    </row>
    <row r="480" spans="51:51" s="466" customFormat="1">
      <c r="AY480" s="473"/>
    </row>
    <row r="481" spans="51:51" s="466" customFormat="1">
      <c r="AY481" s="473"/>
    </row>
    <row r="482" spans="51:51" s="466" customFormat="1">
      <c r="AY482" s="473"/>
    </row>
    <row r="483" spans="51:51" s="466" customFormat="1">
      <c r="AY483" s="473"/>
    </row>
    <row r="484" spans="51:51" s="466" customFormat="1">
      <c r="AY484" s="473"/>
    </row>
    <row r="485" spans="51:51" s="466" customFormat="1">
      <c r="AY485" s="473"/>
    </row>
    <row r="486" spans="51:51" s="466" customFormat="1">
      <c r="AY486" s="473"/>
    </row>
    <row r="487" spans="51:51" s="466" customFormat="1">
      <c r="AY487" s="473"/>
    </row>
    <row r="488" spans="51:51" s="466" customFormat="1">
      <c r="AY488" s="473"/>
    </row>
    <row r="489" spans="51:51" s="466" customFormat="1">
      <c r="AY489" s="473"/>
    </row>
    <row r="490" spans="51:51" s="466" customFormat="1">
      <c r="AY490" s="473"/>
    </row>
    <row r="491" spans="51:51" s="466" customFormat="1">
      <c r="AY491" s="473"/>
    </row>
    <row r="492" spans="51:51" s="466" customFormat="1">
      <c r="AY492" s="473"/>
    </row>
    <row r="493" spans="51:51" s="466" customFormat="1">
      <c r="AY493" s="473"/>
    </row>
    <row r="494" spans="51:51" s="466" customFormat="1">
      <c r="AY494" s="473"/>
    </row>
    <row r="495" spans="51:51" s="466" customFormat="1">
      <c r="AY495" s="473"/>
    </row>
    <row r="496" spans="51:51" s="466" customFormat="1">
      <c r="AY496" s="473"/>
    </row>
    <row r="497" spans="51:51" s="466" customFormat="1">
      <c r="AY497" s="473"/>
    </row>
    <row r="498" spans="51:51" s="466" customFormat="1">
      <c r="AY498" s="473"/>
    </row>
    <row r="499" spans="51:51" s="466" customFormat="1">
      <c r="AY499" s="473"/>
    </row>
    <row r="500" spans="51:51" s="466" customFormat="1">
      <c r="AY500" s="473"/>
    </row>
    <row r="501" spans="51:51" s="466" customFormat="1">
      <c r="AY501" s="473"/>
    </row>
    <row r="502" spans="51:51" s="466" customFormat="1">
      <c r="AY502" s="473"/>
    </row>
    <row r="503" spans="51:51" s="466" customFormat="1">
      <c r="AY503" s="473"/>
    </row>
    <row r="504" spans="51:51" s="466" customFormat="1">
      <c r="AY504" s="473"/>
    </row>
    <row r="505" spans="51:51" s="466" customFormat="1">
      <c r="AY505" s="473"/>
    </row>
    <row r="506" spans="51:51" s="466" customFormat="1">
      <c r="AY506" s="473"/>
    </row>
    <row r="507" spans="51:51" s="466" customFormat="1">
      <c r="AY507" s="473"/>
    </row>
    <row r="508" spans="51:51" s="466" customFormat="1">
      <c r="AY508" s="473"/>
    </row>
    <row r="509" spans="51:51" s="466" customFormat="1">
      <c r="AY509" s="473"/>
    </row>
    <row r="510" spans="51:51" s="466" customFormat="1">
      <c r="AY510" s="473"/>
    </row>
    <row r="511" spans="51:51" s="466" customFormat="1">
      <c r="AY511" s="473"/>
    </row>
    <row r="512" spans="51:51" s="466" customFormat="1">
      <c r="AY512" s="473"/>
    </row>
    <row r="513" spans="51:51" s="466" customFormat="1">
      <c r="AY513" s="473"/>
    </row>
    <row r="514" spans="51:51" s="466" customFormat="1">
      <c r="AY514" s="473"/>
    </row>
    <row r="515" spans="51:51" s="466" customFormat="1">
      <c r="AY515" s="473"/>
    </row>
    <row r="516" spans="51:51" s="466" customFormat="1">
      <c r="AY516" s="473"/>
    </row>
    <row r="517" spans="51:51" s="466" customFormat="1">
      <c r="AY517" s="473"/>
    </row>
    <row r="518" spans="51:51" s="466" customFormat="1">
      <c r="AY518" s="473"/>
    </row>
    <row r="519" spans="51:51" s="466" customFormat="1">
      <c r="AY519" s="473"/>
    </row>
    <row r="520" spans="51:51" s="466" customFormat="1">
      <c r="AY520" s="473"/>
    </row>
    <row r="521" spans="51:51" s="466" customFormat="1">
      <c r="AY521" s="473"/>
    </row>
    <row r="522" spans="51:51" s="466" customFormat="1">
      <c r="AY522" s="473"/>
    </row>
    <row r="523" spans="51:51" s="466" customFormat="1">
      <c r="AY523" s="473"/>
    </row>
    <row r="524" spans="51:51" s="466" customFormat="1">
      <c r="AY524" s="473"/>
    </row>
    <row r="525" spans="51:51" s="466" customFormat="1">
      <c r="AY525" s="473"/>
    </row>
    <row r="526" spans="51:51" s="466" customFormat="1">
      <c r="AY526" s="473"/>
    </row>
    <row r="527" spans="51:51" s="466" customFormat="1">
      <c r="AY527" s="473"/>
    </row>
    <row r="528" spans="51:51" s="466" customFormat="1">
      <c r="AY528" s="473"/>
    </row>
    <row r="529" spans="51:51" s="466" customFormat="1">
      <c r="AY529" s="473"/>
    </row>
    <row r="530" spans="51:51" s="466" customFormat="1">
      <c r="AY530" s="473"/>
    </row>
    <row r="531" spans="51:51" s="466" customFormat="1">
      <c r="AY531" s="473"/>
    </row>
    <row r="532" spans="51:51" s="466" customFormat="1">
      <c r="AY532" s="473"/>
    </row>
    <row r="533" spans="51:51" s="466" customFormat="1">
      <c r="AY533" s="473"/>
    </row>
    <row r="534" spans="51:51" s="466" customFormat="1">
      <c r="AY534" s="473"/>
    </row>
    <row r="535" spans="51:51" s="466" customFormat="1">
      <c r="AY535" s="473"/>
    </row>
    <row r="536" spans="51:51" s="466" customFormat="1">
      <c r="AY536" s="473"/>
    </row>
    <row r="537" spans="51:51" s="466" customFormat="1">
      <c r="AY537" s="473"/>
    </row>
    <row r="538" spans="51:51" s="466" customFormat="1">
      <c r="AY538" s="473"/>
    </row>
    <row r="539" spans="51:51" s="466" customFormat="1">
      <c r="AY539" s="473"/>
    </row>
    <row r="540" spans="51:51" s="466" customFormat="1">
      <c r="AY540" s="473"/>
    </row>
    <row r="541" spans="51:51" s="466" customFormat="1">
      <c r="AY541" s="473"/>
    </row>
    <row r="542" spans="51:51" s="466" customFormat="1">
      <c r="AY542" s="473"/>
    </row>
    <row r="543" spans="51:51" s="466" customFormat="1">
      <c r="AY543" s="473"/>
    </row>
    <row r="544" spans="51:51" s="466" customFormat="1">
      <c r="AY544" s="473"/>
    </row>
    <row r="545" spans="51:51" s="466" customFormat="1">
      <c r="AY545" s="473"/>
    </row>
    <row r="546" spans="51:51" s="466" customFormat="1">
      <c r="AY546" s="473"/>
    </row>
    <row r="547" spans="51:51" s="466" customFormat="1">
      <c r="AY547" s="473"/>
    </row>
    <row r="548" spans="51:51" s="466" customFormat="1">
      <c r="AY548" s="473"/>
    </row>
    <row r="549" spans="51:51" s="466" customFormat="1">
      <c r="AY549" s="473"/>
    </row>
    <row r="550" spans="51:51" s="466" customFormat="1">
      <c r="AY550" s="473"/>
    </row>
    <row r="551" spans="51:51" s="466" customFormat="1">
      <c r="AY551" s="473"/>
    </row>
    <row r="552" spans="51:51" s="466" customFormat="1">
      <c r="AY552" s="473"/>
    </row>
    <row r="553" spans="51:51" s="466" customFormat="1">
      <c r="AY553" s="473"/>
    </row>
    <row r="554" spans="51:51" s="466" customFormat="1">
      <c r="AY554" s="473"/>
    </row>
    <row r="555" spans="51:51" s="466" customFormat="1">
      <c r="AY555" s="473"/>
    </row>
    <row r="556" spans="51:51" s="466" customFormat="1">
      <c r="AY556" s="473"/>
    </row>
    <row r="557" spans="51:51" s="466" customFormat="1">
      <c r="AY557" s="473"/>
    </row>
    <row r="558" spans="51:51" s="466" customFormat="1">
      <c r="AY558" s="473"/>
    </row>
    <row r="559" spans="51:51" s="466" customFormat="1">
      <c r="AY559" s="473"/>
    </row>
    <row r="560" spans="51:51" s="466" customFormat="1">
      <c r="AY560" s="473"/>
    </row>
    <row r="561" spans="51:51" s="466" customFormat="1">
      <c r="AY561" s="473"/>
    </row>
    <row r="562" spans="51:51" s="466" customFormat="1">
      <c r="AY562" s="473"/>
    </row>
    <row r="563" spans="51:51" s="466" customFormat="1">
      <c r="AY563" s="473"/>
    </row>
    <row r="564" spans="51:51" s="466" customFormat="1">
      <c r="AY564" s="473"/>
    </row>
    <row r="565" spans="51:51" s="466" customFormat="1">
      <c r="AY565" s="473"/>
    </row>
    <row r="566" spans="51:51" s="466" customFormat="1">
      <c r="AY566" s="473"/>
    </row>
    <row r="567" spans="51:51" s="466" customFormat="1">
      <c r="AY567" s="473"/>
    </row>
    <row r="568" spans="51:51" s="466" customFormat="1">
      <c r="AY568" s="473"/>
    </row>
    <row r="569" spans="51:51" s="466" customFormat="1">
      <c r="AY569" s="473"/>
    </row>
    <row r="570" spans="51:51" s="466" customFormat="1">
      <c r="AY570" s="473"/>
    </row>
    <row r="571" spans="51:51" s="466" customFormat="1">
      <c r="AY571" s="473"/>
    </row>
    <row r="572" spans="51:51" s="466" customFormat="1">
      <c r="AY572" s="473"/>
    </row>
    <row r="573" spans="51:51" s="466" customFormat="1">
      <c r="AY573" s="473"/>
    </row>
    <row r="574" spans="51:51" s="466" customFormat="1">
      <c r="AY574" s="473"/>
    </row>
    <row r="575" spans="51:51" s="466" customFormat="1">
      <c r="AY575" s="473"/>
    </row>
    <row r="576" spans="51:51" s="466" customFormat="1">
      <c r="AY576" s="473"/>
    </row>
    <row r="577" spans="7:51" s="466" customFormat="1">
      <c r="AY577" s="473"/>
    </row>
    <row r="578" spans="7:51" s="466" customFormat="1">
      <c r="AY578" s="473"/>
    </row>
    <row r="579" spans="7:51" s="466" customFormat="1">
      <c r="AY579" s="473"/>
    </row>
    <row r="580" spans="7:51" s="466" customFormat="1">
      <c r="AY580" s="473"/>
    </row>
    <row r="581" spans="7:51" s="466" customFormat="1">
      <c r="AY581" s="473"/>
    </row>
    <row r="582" spans="7:51" s="466" customFormat="1">
      <c r="AY582" s="473"/>
    </row>
    <row r="583" spans="7:51" s="466" customFormat="1">
      <c r="AY583" s="473"/>
    </row>
    <row r="584" spans="7:51" s="466" customFormat="1">
      <c r="AY584" s="473"/>
    </row>
    <row r="585" spans="7:51" s="466" customFormat="1">
      <c r="AY585" s="473"/>
    </row>
    <row r="586" spans="7:51" s="466" customFormat="1">
      <c r="AY586" s="473"/>
    </row>
    <row r="587" spans="7:51" s="466" customFormat="1">
      <c r="AY587" s="473"/>
    </row>
    <row r="588" spans="7:51">
      <c r="G588" s="129"/>
      <c r="H588" s="466"/>
      <c r="AY588" s="461"/>
    </row>
    <row r="589" spans="7:51">
      <c r="G589" s="129"/>
      <c r="H589" s="466"/>
      <c r="AY589" s="461"/>
    </row>
    <row r="590" spans="7:51">
      <c r="G590" s="129"/>
      <c r="H590" s="466"/>
      <c r="AY590" s="461"/>
    </row>
    <row r="591" spans="7:51">
      <c r="G591" s="129"/>
      <c r="H591" s="466"/>
      <c r="AY591" s="461"/>
    </row>
    <row r="592" spans="7:51">
      <c r="G592" s="129"/>
      <c r="H592" s="466"/>
      <c r="AY592" s="461"/>
    </row>
    <row r="593" spans="7:51">
      <c r="G593" s="129"/>
      <c r="H593" s="466"/>
      <c r="AY593" s="461"/>
    </row>
    <row r="594" spans="7:51">
      <c r="G594" s="129"/>
      <c r="H594" s="466"/>
      <c r="AY594" s="461"/>
    </row>
    <row r="595" spans="7:51">
      <c r="G595" s="129"/>
      <c r="H595" s="466"/>
      <c r="AY595" s="461"/>
    </row>
    <row r="596" spans="7:51">
      <c r="G596" s="129"/>
      <c r="H596" s="466"/>
      <c r="AY596" s="461"/>
    </row>
    <row r="597" spans="7:51">
      <c r="G597" s="129"/>
      <c r="H597" s="466"/>
      <c r="AY597" s="461"/>
    </row>
    <row r="598" spans="7:51">
      <c r="G598" s="129"/>
      <c r="H598" s="466"/>
      <c r="AY598" s="461"/>
    </row>
    <row r="599" spans="7:51">
      <c r="G599" s="129"/>
      <c r="H599" s="466"/>
      <c r="AY599" s="461"/>
    </row>
    <row r="600" spans="7:51">
      <c r="G600" s="129"/>
      <c r="H600" s="466"/>
      <c r="AY600" s="461"/>
    </row>
    <row r="601" spans="7:51">
      <c r="G601" s="129"/>
      <c r="H601" s="466"/>
      <c r="AY601" s="461"/>
    </row>
    <row r="602" spans="7:51">
      <c r="G602" s="129"/>
      <c r="H602" s="466"/>
      <c r="AY602" s="461"/>
    </row>
    <row r="603" spans="7:51">
      <c r="G603" s="129"/>
      <c r="H603" s="466"/>
      <c r="AY603" s="461"/>
    </row>
    <row r="604" spans="7:51">
      <c r="G604" s="129"/>
      <c r="H604" s="466"/>
      <c r="AY604" s="461"/>
    </row>
    <row r="605" spans="7:51">
      <c r="G605" s="129"/>
      <c r="H605" s="466"/>
      <c r="AY605" s="461"/>
    </row>
    <row r="606" spans="7:51">
      <c r="G606" s="129"/>
      <c r="H606" s="466"/>
      <c r="AY606" s="461"/>
    </row>
    <row r="607" spans="7:51">
      <c r="G607" s="129"/>
      <c r="H607" s="466"/>
      <c r="AY607" s="461"/>
    </row>
    <row r="608" spans="7:51">
      <c r="G608" s="129"/>
      <c r="H608" s="466"/>
      <c r="AY608" s="461"/>
    </row>
    <row r="609" spans="7:51">
      <c r="G609" s="129"/>
      <c r="H609" s="466"/>
      <c r="AY609" s="461"/>
    </row>
    <row r="610" spans="7:51">
      <c r="G610" s="129"/>
      <c r="H610" s="466"/>
      <c r="AY610" s="461"/>
    </row>
    <row r="611" spans="7:51">
      <c r="G611" s="129"/>
      <c r="H611" s="466"/>
      <c r="AY611" s="461"/>
    </row>
    <row r="612" spans="7:51">
      <c r="G612" s="129"/>
      <c r="H612" s="466"/>
      <c r="AY612" s="461"/>
    </row>
    <row r="613" spans="7:51">
      <c r="G613" s="129"/>
      <c r="H613" s="466"/>
      <c r="AY613" s="461"/>
    </row>
    <row r="614" spans="7:51">
      <c r="G614" s="129"/>
      <c r="H614" s="466"/>
      <c r="AY614" s="461"/>
    </row>
    <row r="615" spans="7:51">
      <c r="G615" s="129"/>
      <c r="H615" s="466"/>
      <c r="AY615" s="461"/>
    </row>
    <row r="616" spans="7:51">
      <c r="G616" s="129"/>
      <c r="H616" s="466"/>
      <c r="AY616" s="461"/>
    </row>
    <row r="617" spans="7:51">
      <c r="G617" s="129"/>
      <c r="H617" s="466"/>
      <c r="AY617" s="461"/>
    </row>
    <row r="618" spans="7:51">
      <c r="G618" s="129"/>
      <c r="H618" s="466"/>
      <c r="AY618" s="461"/>
    </row>
    <row r="619" spans="7:51">
      <c r="G619" s="129"/>
      <c r="H619" s="466"/>
      <c r="AY619" s="461"/>
    </row>
    <row r="620" spans="7:51">
      <c r="G620" s="129"/>
      <c r="H620" s="466"/>
      <c r="AY620" s="461"/>
    </row>
    <row r="621" spans="7:51">
      <c r="G621" s="129"/>
      <c r="H621" s="466"/>
      <c r="AY621" s="461"/>
    </row>
    <row r="622" spans="7:51">
      <c r="G622" s="129"/>
      <c r="H622" s="466"/>
      <c r="AY622" s="461"/>
    </row>
    <row r="623" spans="7:51">
      <c r="G623" s="129"/>
      <c r="H623" s="466"/>
      <c r="AY623" s="461"/>
    </row>
    <row r="624" spans="7:51">
      <c r="G624" s="129"/>
      <c r="H624" s="466"/>
      <c r="AY624" s="461"/>
    </row>
    <row r="625" spans="7:51">
      <c r="G625" s="129"/>
      <c r="H625" s="466"/>
      <c r="AY625" s="461"/>
    </row>
    <row r="626" spans="7:51">
      <c r="G626" s="129"/>
      <c r="H626" s="466"/>
      <c r="AY626" s="461"/>
    </row>
    <row r="627" spans="7:51">
      <c r="G627" s="129"/>
      <c r="H627" s="466"/>
      <c r="AY627" s="461"/>
    </row>
    <row r="628" spans="7:51">
      <c r="G628" s="129"/>
      <c r="H628" s="466"/>
      <c r="AY628" s="461"/>
    </row>
    <row r="629" spans="7:51">
      <c r="G629" s="129"/>
      <c r="H629" s="466"/>
      <c r="AY629" s="461"/>
    </row>
    <row r="630" spans="7:51">
      <c r="G630" s="129"/>
      <c r="H630" s="466"/>
      <c r="AY630" s="461"/>
    </row>
    <row r="631" spans="7:51">
      <c r="G631" s="129"/>
      <c r="H631" s="466"/>
      <c r="AY631" s="461"/>
    </row>
    <row r="632" spans="7:51">
      <c r="G632" s="129"/>
      <c r="H632" s="466"/>
      <c r="AY632" s="461"/>
    </row>
    <row r="633" spans="7:51">
      <c r="G633" s="129"/>
      <c r="H633" s="466"/>
      <c r="AY633" s="461"/>
    </row>
    <row r="634" spans="7:51">
      <c r="G634" s="129"/>
      <c r="H634" s="466"/>
      <c r="AY634" s="461"/>
    </row>
    <row r="635" spans="7:51">
      <c r="G635" s="129"/>
      <c r="H635" s="466"/>
      <c r="AY635" s="461"/>
    </row>
    <row r="636" spans="7:51">
      <c r="G636" s="129"/>
      <c r="H636" s="466"/>
      <c r="AY636" s="461"/>
    </row>
    <row r="637" spans="7:51">
      <c r="G637" s="129"/>
      <c r="H637" s="466"/>
      <c r="AY637" s="461"/>
    </row>
    <row r="638" spans="7:51">
      <c r="G638" s="129"/>
      <c r="H638" s="466"/>
      <c r="AY638" s="461"/>
    </row>
    <row r="639" spans="7:51">
      <c r="G639" s="129"/>
      <c r="H639" s="466"/>
      <c r="AY639" s="461"/>
    </row>
    <row r="640" spans="7:51">
      <c r="G640" s="129"/>
      <c r="H640" s="466"/>
      <c r="AY640" s="461"/>
    </row>
    <row r="641" spans="7:51">
      <c r="G641" s="129"/>
      <c r="H641" s="466"/>
      <c r="AY641" s="461"/>
    </row>
    <row r="642" spans="7:51">
      <c r="G642" s="129"/>
      <c r="H642" s="466"/>
      <c r="AY642" s="461"/>
    </row>
    <row r="643" spans="7:51">
      <c r="G643" s="129"/>
      <c r="H643" s="466"/>
      <c r="AY643" s="461"/>
    </row>
    <row r="644" spans="7:51">
      <c r="G644" s="129"/>
      <c r="H644" s="466"/>
      <c r="AY644" s="461"/>
    </row>
    <row r="645" spans="7:51">
      <c r="G645" s="129"/>
      <c r="H645" s="466"/>
      <c r="AY645" s="461"/>
    </row>
    <row r="646" spans="7:51">
      <c r="G646" s="129"/>
      <c r="H646" s="466"/>
      <c r="AY646" s="461"/>
    </row>
    <row r="647" spans="7:51">
      <c r="G647" s="129"/>
      <c r="H647" s="466"/>
      <c r="AY647" s="461"/>
    </row>
    <row r="648" spans="7:51">
      <c r="G648" s="129"/>
      <c r="H648" s="466"/>
      <c r="AY648" s="461"/>
    </row>
    <row r="649" spans="7:51">
      <c r="G649" s="129"/>
      <c r="H649" s="466"/>
      <c r="AY649" s="461"/>
    </row>
    <row r="650" spans="7:51">
      <c r="G650" s="129"/>
      <c r="H650" s="466"/>
      <c r="AY650" s="461"/>
    </row>
    <row r="651" spans="7:51">
      <c r="G651" s="129"/>
      <c r="H651" s="466"/>
      <c r="AY651" s="461"/>
    </row>
    <row r="652" spans="7:51">
      <c r="G652" s="129"/>
      <c r="H652" s="466"/>
      <c r="AY652" s="461"/>
    </row>
    <row r="653" spans="7:51">
      <c r="G653" s="129"/>
      <c r="H653" s="466"/>
      <c r="AY653" s="461"/>
    </row>
    <row r="654" spans="7:51">
      <c r="G654" s="129"/>
      <c r="H654" s="466"/>
      <c r="AY654" s="461"/>
    </row>
    <row r="655" spans="7:51">
      <c r="G655" s="129"/>
      <c r="H655" s="466"/>
      <c r="AY655" s="461"/>
    </row>
    <row r="656" spans="7:51">
      <c r="G656" s="129"/>
      <c r="H656" s="466"/>
      <c r="AY656" s="461"/>
    </row>
    <row r="657" spans="7:51">
      <c r="G657" s="129"/>
      <c r="H657" s="466"/>
      <c r="AY657" s="461"/>
    </row>
    <row r="658" spans="7:51">
      <c r="G658" s="129"/>
      <c r="H658" s="466"/>
      <c r="AY658" s="461"/>
    </row>
    <row r="659" spans="7:51">
      <c r="G659" s="129"/>
      <c r="H659" s="466"/>
      <c r="AY659" s="461"/>
    </row>
    <row r="660" spans="7:51">
      <c r="G660" s="129"/>
      <c r="H660" s="466"/>
      <c r="AY660" s="461"/>
    </row>
    <row r="661" spans="7:51">
      <c r="G661" s="129"/>
      <c r="H661" s="466"/>
      <c r="AY661" s="461"/>
    </row>
    <row r="662" spans="7:51">
      <c r="G662" s="129"/>
      <c r="H662" s="466"/>
      <c r="AY662" s="461"/>
    </row>
    <row r="663" spans="7:51">
      <c r="G663" s="129"/>
      <c r="H663" s="466"/>
      <c r="AY663" s="461"/>
    </row>
    <row r="664" spans="7:51">
      <c r="G664" s="129"/>
      <c r="H664" s="466"/>
      <c r="AY664" s="461"/>
    </row>
    <row r="665" spans="7:51">
      <c r="G665" s="129"/>
      <c r="H665" s="466"/>
      <c r="AY665" s="461"/>
    </row>
    <row r="666" spans="7:51">
      <c r="G666" s="129"/>
      <c r="H666" s="466"/>
      <c r="AY666" s="461"/>
    </row>
    <row r="667" spans="7:51">
      <c r="G667" s="129"/>
      <c r="H667" s="466"/>
      <c r="AY667" s="461"/>
    </row>
    <row r="668" spans="7:51">
      <c r="G668" s="129"/>
      <c r="H668" s="466"/>
      <c r="AY668" s="461"/>
    </row>
    <row r="669" spans="7:51">
      <c r="G669" s="129"/>
      <c r="H669" s="466"/>
      <c r="AY669" s="461"/>
    </row>
    <row r="670" spans="7:51">
      <c r="G670" s="129"/>
      <c r="H670" s="466"/>
      <c r="AY670" s="461"/>
    </row>
    <row r="671" spans="7:51">
      <c r="G671" s="129"/>
      <c r="H671" s="466"/>
      <c r="AY671" s="461"/>
    </row>
    <row r="672" spans="7:51">
      <c r="G672" s="129"/>
      <c r="H672" s="466"/>
      <c r="AY672" s="461"/>
    </row>
    <row r="673" spans="7:51">
      <c r="G673" s="129"/>
      <c r="H673" s="466"/>
      <c r="AY673" s="461"/>
    </row>
    <row r="674" spans="7:51">
      <c r="G674" s="129"/>
      <c r="H674" s="466"/>
      <c r="AY674" s="461"/>
    </row>
    <row r="675" spans="7:51">
      <c r="G675" s="129"/>
      <c r="H675" s="466"/>
      <c r="AY675" s="461"/>
    </row>
    <row r="676" spans="7:51">
      <c r="G676" s="129"/>
      <c r="H676" s="466"/>
      <c r="AY676" s="461"/>
    </row>
    <row r="677" spans="7:51">
      <c r="G677" s="129"/>
      <c r="H677" s="466"/>
      <c r="AY677" s="461"/>
    </row>
    <row r="678" spans="7:51">
      <c r="G678" s="129"/>
      <c r="H678" s="466"/>
      <c r="AY678" s="461"/>
    </row>
    <row r="679" spans="7:51">
      <c r="G679" s="129"/>
      <c r="H679" s="466"/>
      <c r="AY679" s="461"/>
    </row>
    <row r="680" spans="7:51">
      <c r="G680" s="129"/>
      <c r="H680" s="466"/>
      <c r="AY680" s="461"/>
    </row>
    <row r="681" spans="7:51">
      <c r="G681" s="129"/>
      <c r="H681" s="466"/>
      <c r="AY681" s="461"/>
    </row>
    <row r="682" spans="7:51">
      <c r="G682" s="129"/>
      <c r="H682" s="466"/>
      <c r="AY682" s="461"/>
    </row>
    <row r="683" spans="7:51">
      <c r="G683" s="129"/>
      <c r="H683" s="466"/>
      <c r="AY683" s="461"/>
    </row>
    <row r="684" spans="7:51">
      <c r="G684" s="129"/>
      <c r="H684" s="466"/>
      <c r="AY684" s="461"/>
    </row>
    <row r="685" spans="7:51">
      <c r="G685" s="129"/>
      <c r="H685" s="466"/>
      <c r="AY685" s="461"/>
    </row>
    <row r="686" spans="7:51">
      <c r="G686" s="129"/>
      <c r="H686" s="466"/>
      <c r="AY686" s="461"/>
    </row>
    <row r="687" spans="7:51">
      <c r="G687" s="129"/>
      <c r="H687" s="466"/>
      <c r="AY687" s="461"/>
    </row>
    <row r="688" spans="7:51">
      <c r="G688" s="129"/>
      <c r="H688" s="466"/>
      <c r="AY688" s="461"/>
    </row>
    <row r="689" spans="7:51">
      <c r="G689" s="129"/>
      <c r="H689" s="466"/>
      <c r="AY689" s="461"/>
    </row>
    <row r="690" spans="7:51">
      <c r="G690" s="129"/>
      <c r="H690" s="466"/>
      <c r="AY690" s="461"/>
    </row>
    <row r="691" spans="7:51">
      <c r="G691" s="129"/>
      <c r="H691" s="466"/>
      <c r="AY691" s="461"/>
    </row>
    <row r="692" spans="7:51">
      <c r="G692" s="129"/>
      <c r="H692" s="466"/>
      <c r="AY692" s="461"/>
    </row>
    <row r="693" spans="7:51">
      <c r="G693" s="129"/>
      <c r="H693" s="466"/>
      <c r="AY693" s="461"/>
    </row>
    <row r="694" spans="7:51">
      <c r="G694" s="129"/>
      <c r="H694" s="466"/>
      <c r="AY694" s="461"/>
    </row>
    <row r="695" spans="7:51">
      <c r="G695" s="129"/>
      <c r="H695" s="466"/>
      <c r="AY695" s="461"/>
    </row>
    <row r="696" spans="7:51">
      <c r="G696" s="129"/>
      <c r="H696" s="466"/>
      <c r="AY696" s="461"/>
    </row>
    <row r="697" spans="7:51">
      <c r="G697" s="129"/>
      <c r="H697" s="466"/>
      <c r="AY697" s="461"/>
    </row>
    <row r="698" spans="7:51">
      <c r="G698" s="129"/>
      <c r="H698" s="466"/>
      <c r="AY698" s="461"/>
    </row>
    <row r="699" spans="7:51">
      <c r="G699" s="129"/>
      <c r="H699" s="466"/>
      <c r="AY699" s="461"/>
    </row>
    <row r="700" spans="7:51">
      <c r="G700" s="129"/>
      <c r="H700" s="466"/>
      <c r="AY700" s="461"/>
    </row>
    <row r="701" spans="7:51">
      <c r="G701" s="129"/>
      <c r="H701" s="466"/>
      <c r="AY701" s="461"/>
    </row>
    <row r="702" spans="7:51">
      <c r="G702" s="129"/>
      <c r="H702" s="466"/>
      <c r="AY702" s="461"/>
    </row>
    <row r="703" spans="7:51">
      <c r="G703" s="129"/>
      <c r="H703" s="466"/>
      <c r="AY703" s="461"/>
    </row>
    <row r="704" spans="7:51">
      <c r="G704" s="129"/>
      <c r="H704" s="466"/>
      <c r="AY704" s="461"/>
    </row>
    <row r="705" spans="7:51">
      <c r="G705" s="129"/>
      <c r="H705" s="466"/>
      <c r="AY705" s="461"/>
    </row>
    <row r="706" spans="7:51">
      <c r="G706" s="129"/>
      <c r="H706" s="466"/>
      <c r="AY706" s="461"/>
    </row>
    <row r="707" spans="7:51">
      <c r="G707" s="129"/>
      <c r="H707" s="466"/>
      <c r="AY707" s="461"/>
    </row>
    <row r="708" spans="7:51">
      <c r="G708" s="129"/>
      <c r="H708" s="466"/>
      <c r="AY708" s="461"/>
    </row>
    <row r="709" spans="7:51">
      <c r="G709" s="129"/>
      <c r="H709" s="466"/>
      <c r="AY709" s="461"/>
    </row>
    <row r="710" spans="7:51">
      <c r="G710" s="129"/>
      <c r="H710" s="466"/>
      <c r="AY710" s="461"/>
    </row>
    <row r="711" spans="7:51">
      <c r="G711" s="129"/>
      <c r="H711" s="466"/>
      <c r="AY711" s="461"/>
    </row>
    <row r="712" spans="7:51">
      <c r="G712" s="129"/>
      <c r="H712" s="466"/>
      <c r="AY712" s="461"/>
    </row>
    <row r="713" spans="7:51">
      <c r="G713" s="129"/>
      <c r="H713" s="466"/>
      <c r="AY713" s="461"/>
    </row>
    <row r="714" spans="7:51">
      <c r="G714" s="129"/>
      <c r="H714" s="466"/>
      <c r="AY714" s="461"/>
    </row>
    <row r="715" spans="7:51">
      <c r="G715" s="129"/>
      <c r="H715" s="466"/>
      <c r="AY715" s="461"/>
    </row>
    <row r="716" spans="7:51">
      <c r="G716" s="129"/>
      <c r="H716" s="466"/>
      <c r="AY716" s="461"/>
    </row>
    <row r="717" spans="7:51">
      <c r="G717" s="129"/>
      <c r="H717" s="466"/>
      <c r="AY717" s="461"/>
    </row>
    <row r="718" spans="7:51">
      <c r="G718" s="129"/>
      <c r="H718" s="466"/>
      <c r="AY718" s="461"/>
    </row>
    <row r="719" spans="7:51">
      <c r="G719" s="129"/>
      <c r="H719" s="466"/>
      <c r="AY719" s="461"/>
    </row>
    <row r="720" spans="7:51">
      <c r="G720" s="129"/>
      <c r="H720" s="466"/>
      <c r="AY720" s="461"/>
    </row>
    <row r="721" spans="7:51">
      <c r="G721" s="129"/>
      <c r="H721" s="466"/>
      <c r="AY721" s="461"/>
    </row>
    <row r="722" spans="7:51">
      <c r="G722" s="129"/>
      <c r="H722" s="466"/>
      <c r="AY722" s="461"/>
    </row>
    <row r="723" spans="7:51">
      <c r="G723" s="129"/>
      <c r="H723" s="466"/>
      <c r="AY723" s="461"/>
    </row>
    <row r="724" spans="7:51">
      <c r="G724" s="129"/>
      <c r="H724" s="466"/>
      <c r="AY724" s="461"/>
    </row>
    <row r="725" spans="7:51">
      <c r="G725" s="129"/>
      <c r="H725" s="466"/>
      <c r="AY725" s="461"/>
    </row>
    <row r="726" spans="7:51">
      <c r="G726" s="129"/>
      <c r="H726" s="466"/>
      <c r="AY726" s="461"/>
    </row>
    <row r="727" spans="7:51">
      <c r="G727" s="129"/>
      <c r="H727" s="466"/>
      <c r="AY727" s="461"/>
    </row>
    <row r="728" spans="7:51">
      <c r="G728" s="129"/>
      <c r="H728" s="466"/>
      <c r="AY728" s="461"/>
    </row>
    <row r="729" spans="7:51">
      <c r="G729" s="129"/>
      <c r="H729" s="466"/>
      <c r="AY729" s="461"/>
    </row>
    <row r="730" spans="7:51">
      <c r="G730" s="129"/>
      <c r="H730" s="466"/>
      <c r="AY730" s="461"/>
    </row>
    <row r="731" spans="7:51">
      <c r="G731" s="129"/>
      <c r="H731" s="466"/>
      <c r="AY731" s="461"/>
    </row>
    <row r="732" spans="7:51">
      <c r="G732" s="129"/>
      <c r="H732" s="466"/>
      <c r="AY732" s="461"/>
    </row>
    <row r="733" spans="7:51">
      <c r="G733" s="129"/>
      <c r="H733" s="466"/>
      <c r="AY733" s="461"/>
    </row>
    <row r="734" spans="7:51">
      <c r="G734" s="129"/>
      <c r="H734" s="466"/>
      <c r="AY734" s="461"/>
    </row>
    <row r="735" spans="7:51">
      <c r="G735" s="129"/>
      <c r="H735" s="466"/>
      <c r="AY735" s="461"/>
    </row>
    <row r="736" spans="7:51">
      <c r="G736" s="129"/>
      <c r="H736" s="466"/>
      <c r="AY736" s="461"/>
    </row>
    <row r="737" spans="7:51">
      <c r="G737" s="129"/>
      <c r="H737" s="466"/>
      <c r="AY737" s="461"/>
    </row>
    <row r="738" spans="7:51">
      <c r="G738" s="129"/>
      <c r="H738" s="466"/>
      <c r="AY738" s="461"/>
    </row>
    <row r="739" spans="7:51">
      <c r="G739" s="129"/>
      <c r="H739" s="466"/>
      <c r="AY739" s="461"/>
    </row>
    <row r="740" spans="7:51">
      <c r="G740" s="129"/>
      <c r="H740" s="466"/>
      <c r="AY740" s="461"/>
    </row>
    <row r="741" spans="7:51">
      <c r="G741" s="129"/>
      <c r="H741" s="466"/>
      <c r="AY741" s="461"/>
    </row>
    <row r="742" spans="7:51">
      <c r="G742" s="129"/>
      <c r="H742" s="466"/>
      <c r="AY742" s="461"/>
    </row>
    <row r="743" spans="7:51">
      <c r="G743" s="129"/>
      <c r="H743" s="466"/>
      <c r="AY743" s="461"/>
    </row>
    <row r="744" spans="7:51">
      <c r="G744" s="129"/>
      <c r="H744" s="466"/>
      <c r="AY744" s="461"/>
    </row>
    <row r="745" spans="7:51">
      <c r="G745" s="129"/>
      <c r="H745" s="466"/>
      <c r="AY745" s="461"/>
    </row>
    <row r="746" spans="7:51">
      <c r="G746" s="129"/>
      <c r="H746" s="466"/>
      <c r="AY746" s="461"/>
    </row>
    <row r="747" spans="7:51">
      <c r="G747" s="129"/>
      <c r="H747" s="466"/>
      <c r="AY747" s="461"/>
    </row>
    <row r="748" spans="7:51">
      <c r="G748" s="129"/>
      <c r="H748" s="466"/>
      <c r="AY748" s="461"/>
    </row>
    <row r="749" spans="7:51">
      <c r="G749" s="129"/>
      <c r="H749" s="466"/>
      <c r="AY749" s="461"/>
    </row>
    <row r="750" spans="7:51">
      <c r="G750" s="129"/>
      <c r="H750" s="466"/>
      <c r="AY750" s="461"/>
    </row>
    <row r="751" spans="7:51">
      <c r="G751" s="129"/>
      <c r="H751" s="466"/>
      <c r="AY751" s="461"/>
    </row>
    <row r="752" spans="7:51">
      <c r="G752" s="129"/>
      <c r="H752" s="466"/>
      <c r="AY752" s="461"/>
    </row>
    <row r="753" spans="7:51">
      <c r="G753" s="129"/>
      <c r="H753" s="466"/>
      <c r="AY753" s="461"/>
    </row>
    <row r="754" spans="7:51">
      <c r="G754" s="129"/>
      <c r="H754" s="466"/>
      <c r="AY754" s="461"/>
    </row>
    <row r="755" spans="7:51">
      <c r="G755" s="129"/>
      <c r="H755" s="466"/>
      <c r="AY755" s="461"/>
    </row>
    <row r="756" spans="7:51">
      <c r="G756" s="129"/>
      <c r="H756" s="466"/>
      <c r="AY756" s="461"/>
    </row>
    <row r="757" spans="7:51">
      <c r="G757" s="129"/>
      <c r="H757" s="466"/>
      <c r="AY757" s="461"/>
    </row>
    <row r="758" spans="7:51">
      <c r="G758" s="129"/>
      <c r="H758" s="466"/>
      <c r="AY758" s="461"/>
    </row>
    <row r="759" spans="7:51">
      <c r="G759" s="129"/>
      <c r="H759" s="466"/>
      <c r="AY759" s="461"/>
    </row>
    <row r="760" spans="7:51">
      <c r="G760" s="129"/>
      <c r="H760" s="466"/>
      <c r="AY760" s="461"/>
    </row>
    <row r="761" spans="7:51">
      <c r="G761" s="129"/>
      <c r="H761" s="466"/>
      <c r="AY761" s="461"/>
    </row>
    <row r="762" spans="7:51">
      <c r="G762" s="129"/>
      <c r="H762" s="466"/>
      <c r="AN762" s="474"/>
      <c r="AO762" s="474"/>
      <c r="AP762" s="474"/>
      <c r="AQ762" s="474"/>
      <c r="AR762" s="474"/>
      <c r="AS762" s="474"/>
      <c r="AT762" s="474"/>
      <c r="AU762" s="474"/>
      <c r="AV762" s="474"/>
      <c r="AW762" s="474"/>
      <c r="AY762" s="461"/>
    </row>
    <row r="763" spans="7:51">
      <c r="G763" s="129"/>
      <c r="H763" s="466"/>
      <c r="AN763" s="474"/>
      <c r="AO763" s="474"/>
      <c r="AP763" s="474"/>
      <c r="AQ763" s="474"/>
      <c r="AR763" s="474"/>
      <c r="AS763" s="474"/>
      <c r="AT763" s="474"/>
      <c r="AU763" s="474"/>
      <c r="AV763" s="474"/>
      <c r="AW763" s="474"/>
      <c r="AY763" s="461"/>
    </row>
    <row r="764" spans="7:51">
      <c r="G764" s="129"/>
      <c r="H764" s="466"/>
      <c r="AN764" s="474"/>
      <c r="AO764" s="474"/>
      <c r="AP764" s="474"/>
      <c r="AQ764" s="474"/>
      <c r="AR764" s="474"/>
      <c r="AS764" s="474"/>
      <c r="AT764" s="474"/>
      <c r="AU764" s="474"/>
      <c r="AV764" s="474"/>
      <c r="AW764" s="474"/>
      <c r="AY764" s="461"/>
    </row>
    <row r="765" spans="7:51">
      <c r="G765" s="129"/>
      <c r="H765" s="466"/>
      <c r="AN765" s="474"/>
      <c r="AO765" s="474"/>
      <c r="AP765" s="474"/>
      <c r="AQ765" s="474"/>
      <c r="AR765" s="474"/>
      <c r="AS765" s="474"/>
      <c r="AT765" s="474"/>
      <c r="AU765" s="474"/>
      <c r="AV765" s="474"/>
      <c r="AW765" s="474"/>
      <c r="AY765" s="461"/>
    </row>
    <row r="766" spans="7:51">
      <c r="G766" s="129"/>
      <c r="H766" s="466"/>
      <c r="AN766" s="474"/>
      <c r="AO766" s="474"/>
      <c r="AP766" s="474"/>
      <c r="AQ766" s="474"/>
      <c r="AR766" s="474"/>
      <c r="AS766" s="474"/>
      <c r="AT766" s="474"/>
      <c r="AU766" s="474"/>
      <c r="AV766" s="474"/>
      <c r="AW766" s="474"/>
      <c r="AY766" s="461"/>
    </row>
    <row r="767" spans="7:51">
      <c r="G767" s="129"/>
      <c r="H767" s="466"/>
      <c r="AN767" s="474"/>
      <c r="AO767" s="474"/>
      <c r="AP767" s="474"/>
      <c r="AQ767" s="474"/>
      <c r="AR767" s="474"/>
      <c r="AS767" s="474"/>
      <c r="AT767" s="474"/>
      <c r="AU767" s="474"/>
      <c r="AV767" s="474"/>
      <c r="AW767" s="474"/>
      <c r="AY767" s="461"/>
    </row>
    <row r="768" spans="7:51">
      <c r="G768" s="129"/>
      <c r="H768" s="466"/>
      <c r="AN768" s="474"/>
      <c r="AO768" s="474"/>
      <c r="AP768" s="474"/>
      <c r="AQ768" s="474"/>
      <c r="AR768" s="474"/>
      <c r="AS768" s="474"/>
      <c r="AT768" s="474"/>
      <c r="AU768" s="474"/>
      <c r="AV768" s="474"/>
      <c r="AW768" s="474"/>
      <c r="AY768" s="461"/>
    </row>
    <row r="769" spans="7:63">
      <c r="G769" s="129"/>
      <c r="H769" s="466"/>
      <c r="AN769" s="474"/>
      <c r="AO769" s="474"/>
      <c r="AP769" s="474"/>
      <c r="AQ769" s="474"/>
      <c r="AR769" s="474"/>
      <c r="AS769" s="474"/>
      <c r="AT769" s="474"/>
      <c r="AU769" s="474"/>
      <c r="AV769" s="474"/>
      <c r="AW769" s="474"/>
      <c r="AY769" s="461"/>
    </row>
    <row r="770" spans="7:63">
      <c r="G770" s="129"/>
      <c r="H770" s="466"/>
      <c r="AN770" s="474"/>
      <c r="AO770" s="474"/>
      <c r="AP770" s="474"/>
      <c r="AQ770" s="474"/>
      <c r="AR770" s="474"/>
      <c r="AS770" s="474"/>
      <c r="AT770" s="474"/>
      <c r="AU770" s="474"/>
      <c r="AV770" s="474"/>
      <c r="AW770" s="474"/>
      <c r="AY770" s="461"/>
    </row>
    <row r="771" spans="7:63">
      <c r="G771" s="129"/>
      <c r="H771" s="466"/>
      <c r="AN771" s="474"/>
      <c r="AO771" s="474"/>
      <c r="AP771" s="474"/>
      <c r="AQ771" s="474"/>
      <c r="AR771" s="474"/>
      <c r="AS771" s="474"/>
      <c r="AT771" s="474"/>
      <c r="AU771" s="474"/>
      <c r="AV771" s="474"/>
      <c r="AW771" s="474"/>
      <c r="AY771" s="461"/>
    </row>
    <row r="772" spans="7:63">
      <c r="G772" s="129"/>
      <c r="H772" s="466"/>
      <c r="AN772" s="474"/>
      <c r="AO772" s="474"/>
      <c r="AP772" s="474"/>
      <c r="AQ772" s="474"/>
      <c r="AR772" s="474"/>
      <c r="AS772" s="474"/>
      <c r="AT772" s="474"/>
      <c r="AU772" s="474"/>
      <c r="AV772" s="474"/>
      <c r="AW772" s="474"/>
      <c r="AY772" s="461"/>
    </row>
    <row r="773" spans="7:63">
      <c r="G773" s="129"/>
      <c r="H773" s="466"/>
      <c r="AN773" s="474"/>
      <c r="AO773" s="474"/>
      <c r="AP773" s="474"/>
      <c r="AQ773" s="474"/>
      <c r="AR773" s="474"/>
      <c r="AS773" s="474"/>
      <c r="AT773" s="474"/>
      <c r="AU773" s="474"/>
      <c r="AV773" s="474"/>
      <c r="AW773" s="474"/>
      <c r="AY773" s="461"/>
    </row>
    <row r="774" spans="7:63">
      <c r="G774" s="129"/>
      <c r="H774" s="466"/>
      <c r="AN774" s="474"/>
      <c r="AO774" s="474"/>
      <c r="AP774" s="474"/>
      <c r="AQ774" s="474"/>
      <c r="AR774" s="474"/>
      <c r="AS774" s="474"/>
      <c r="AT774" s="474"/>
      <c r="AU774" s="474"/>
      <c r="AV774" s="474"/>
      <c r="AW774" s="474"/>
      <c r="AY774" s="461"/>
    </row>
    <row r="775" spans="7:63">
      <c r="G775" s="129"/>
      <c r="H775" s="466"/>
      <c r="AN775" s="474"/>
      <c r="AO775" s="474"/>
      <c r="AP775" s="474"/>
      <c r="AQ775" s="474"/>
      <c r="AR775" s="474"/>
      <c r="AS775" s="474"/>
      <c r="AT775" s="474"/>
      <c r="AU775" s="474"/>
      <c r="AV775" s="474"/>
      <c r="AW775" s="474"/>
      <c r="AY775" s="461"/>
    </row>
    <row r="776" spans="7:63">
      <c r="G776" s="129"/>
      <c r="H776" s="466"/>
      <c r="AN776" s="474"/>
      <c r="AO776" s="474"/>
      <c r="AP776" s="474"/>
      <c r="AQ776" s="474"/>
      <c r="AR776" s="474"/>
      <c r="AS776" s="474"/>
      <c r="AT776" s="474"/>
      <c r="AU776" s="474"/>
      <c r="AV776" s="474"/>
      <c r="AW776" s="474"/>
      <c r="AY776" s="461"/>
    </row>
    <row r="777" spans="7:63">
      <c r="G777" s="129"/>
      <c r="H777" s="466"/>
      <c r="AN777" s="474"/>
      <c r="AO777" s="474"/>
      <c r="AP777" s="474"/>
      <c r="AQ777" s="474"/>
      <c r="AR777" s="474"/>
      <c r="AS777" s="474"/>
      <c r="AT777" s="474"/>
      <c r="AU777" s="474"/>
      <c r="AV777" s="474"/>
      <c r="AW777" s="474"/>
      <c r="AY777" s="461"/>
    </row>
    <row r="778" spans="7:63">
      <c r="G778" s="129"/>
      <c r="H778" s="466"/>
      <c r="AN778" s="474"/>
      <c r="AO778" s="474"/>
      <c r="AP778" s="474"/>
      <c r="AQ778" s="474"/>
      <c r="AR778" s="474"/>
      <c r="AS778" s="474"/>
      <c r="AT778" s="474"/>
      <c r="AU778" s="474"/>
      <c r="AV778" s="474"/>
      <c r="AW778" s="474"/>
      <c r="AY778" s="461"/>
    </row>
    <row r="779" spans="7:63">
      <c r="G779" s="129"/>
      <c r="H779" s="466"/>
      <c r="AN779" s="474"/>
      <c r="AO779" s="474"/>
      <c r="AP779" s="474"/>
      <c r="AQ779" s="474"/>
      <c r="AR779" s="474"/>
      <c r="AS779" s="474"/>
      <c r="AT779" s="474"/>
      <c r="AU779" s="474"/>
      <c r="AV779" s="474"/>
      <c r="AW779" s="474"/>
      <c r="AY779" s="461"/>
    </row>
    <row r="780" spans="7:63">
      <c r="G780" s="129"/>
      <c r="H780" s="466"/>
      <c r="AN780" s="474"/>
      <c r="AO780" s="474"/>
      <c r="AP780" s="474"/>
      <c r="AQ780" s="474"/>
      <c r="AR780" s="474"/>
      <c r="AS780" s="474"/>
      <c r="AT780" s="474"/>
      <c r="AU780" s="474"/>
      <c r="AV780" s="474"/>
      <c r="AW780" s="474"/>
      <c r="AY780" s="461"/>
    </row>
    <row r="781" spans="7:63">
      <c r="G781" s="129"/>
      <c r="H781" s="466"/>
      <c r="AN781" s="474"/>
      <c r="AO781" s="474"/>
      <c r="AP781" s="474"/>
      <c r="AQ781" s="474"/>
      <c r="AR781" s="474"/>
      <c r="AS781" s="474"/>
      <c r="AT781" s="474"/>
      <c r="AU781" s="474"/>
      <c r="AV781" s="474"/>
      <c r="AW781" s="474"/>
      <c r="AY781" s="461"/>
      <c r="AZ781" s="461"/>
      <c r="BA781" s="461"/>
      <c r="BB781" s="475"/>
      <c r="BD781" s="461"/>
      <c r="BE781" s="461"/>
      <c r="BF781" s="461"/>
      <c r="BG781" s="475"/>
      <c r="BH781" s="475"/>
      <c r="BI781" s="475"/>
      <c r="BJ781" s="475"/>
      <c r="BK781" s="475"/>
    </row>
    <row r="782" spans="7:63">
      <c r="G782" s="129"/>
      <c r="H782" s="466"/>
      <c r="AR782" s="461"/>
      <c r="AS782" s="461"/>
      <c r="AT782" s="475"/>
      <c r="AU782" s="475"/>
      <c r="AV782" s="475"/>
      <c r="AW782" s="475"/>
      <c r="AY782" s="461"/>
      <c r="AZ782" s="461"/>
      <c r="BA782" s="461"/>
      <c r="BB782" s="475"/>
      <c r="BD782" s="461"/>
      <c r="BE782" s="461"/>
      <c r="BF782" s="461"/>
      <c r="BG782" s="475"/>
      <c r="BH782" s="475"/>
      <c r="BI782" s="475"/>
      <c r="BJ782" s="475"/>
      <c r="BK782" s="475"/>
    </row>
    <row r="783" spans="7:63">
      <c r="G783" s="129"/>
      <c r="H783" s="466"/>
      <c r="AR783" s="461"/>
      <c r="AS783" s="461"/>
      <c r="AT783" s="475"/>
      <c r="AU783" s="475"/>
      <c r="AV783" s="475"/>
      <c r="AW783" s="475"/>
      <c r="AY783" s="461"/>
      <c r="AZ783" s="461"/>
      <c r="BA783" s="461"/>
      <c r="BB783" s="475"/>
      <c r="BD783" s="461"/>
      <c r="BE783" s="461"/>
      <c r="BF783" s="461"/>
      <c r="BG783" s="475"/>
      <c r="BH783" s="475"/>
      <c r="BI783" s="475"/>
      <c r="BJ783" s="475"/>
      <c r="BK783" s="475"/>
    </row>
    <row r="784" spans="7:63">
      <c r="G784" s="129"/>
      <c r="H784" s="466"/>
      <c r="AR784" s="461"/>
      <c r="AS784" s="461"/>
      <c r="AT784" s="475"/>
      <c r="AU784" s="475"/>
      <c r="AV784" s="475"/>
      <c r="AW784" s="475"/>
      <c r="AY784" s="461"/>
      <c r="AZ784" s="461"/>
      <c r="BA784" s="461"/>
      <c r="BB784" s="475"/>
      <c r="BD784" s="461"/>
      <c r="BE784" s="461"/>
      <c r="BF784" s="461"/>
      <c r="BG784" s="475"/>
      <c r="BH784" s="475"/>
      <c r="BI784" s="475"/>
      <c r="BJ784" s="475"/>
      <c r="BK784" s="475"/>
    </row>
    <row r="785" spans="7:63">
      <c r="G785" s="129"/>
      <c r="H785" s="466"/>
      <c r="AR785" s="461"/>
      <c r="AS785" s="461"/>
      <c r="AT785" s="475"/>
      <c r="AU785" s="475"/>
      <c r="AV785" s="475"/>
      <c r="AW785" s="475"/>
      <c r="AY785" s="461"/>
      <c r="AZ785" s="461"/>
      <c r="BA785" s="461"/>
      <c r="BB785" s="475"/>
      <c r="BD785" s="461"/>
      <c r="BE785" s="461"/>
      <c r="BF785" s="461"/>
      <c r="BG785" s="475"/>
      <c r="BH785" s="475"/>
      <c r="BI785" s="475"/>
      <c r="BJ785" s="475"/>
      <c r="BK785" s="475"/>
    </row>
    <row r="786" spans="7:63">
      <c r="G786" s="129"/>
      <c r="H786" s="466"/>
      <c r="AR786" s="461"/>
      <c r="AS786" s="461"/>
      <c r="AT786" s="475"/>
      <c r="AU786" s="475"/>
      <c r="AV786" s="475"/>
      <c r="AW786" s="475"/>
      <c r="AY786" s="461"/>
      <c r="AZ786" s="461"/>
      <c r="BA786" s="461"/>
      <c r="BB786" s="475"/>
      <c r="BD786" s="461"/>
      <c r="BE786" s="461"/>
      <c r="BF786" s="461"/>
      <c r="BG786" s="475"/>
      <c r="BH786" s="475"/>
      <c r="BI786" s="475"/>
      <c r="BJ786" s="475"/>
      <c r="BK786" s="475"/>
    </row>
    <row r="787" spans="7:63">
      <c r="G787" s="129"/>
      <c r="H787" s="466"/>
      <c r="AR787" s="461"/>
      <c r="AS787" s="461"/>
      <c r="AT787" s="475"/>
      <c r="AU787" s="475"/>
      <c r="AV787" s="475"/>
      <c r="AW787" s="475"/>
      <c r="AY787" s="461"/>
      <c r="AZ787" s="461"/>
      <c r="BA787" s="461"/>
      <c r="BB787" s="475"/>
      <c r="BD787" s="461"/>
      <c r="BE787" s="461"/>
      <c r="BF787" s="461"/>
      <c r="BG787" s="475"/>
      <c r="BH787" s="475"/>
      <c r="BI787" s="475"/>
      <c r="BJ787" s="475"/>
      <c r="BK787" s="475"/>
    </row>
    <row r="788" spans="7:63">
      <c r="G788" s="129"/>
      <c r="H788" s="466"/>
      <c r="AR788" s="461"/>
      <c r="AS788" s="461"/>
      <c r="AT788" s="475"/>
      <c r="AU788" s="475"/>
      <c r="AV788" s="475"/>
      <c r="AW788" s="475"/>
      <c r="AY788" s="461"/>
      <c r="AZ788" s="461"/>
      <c r="BA788" s="461"/>
      <c r="BB788" s="475"/>
      <c r="BD788" s="461"/>
      <c r="BE788" s="461"/>
      <c r="BF788" s="461"/>
      <c r="BG788" s="475"/>
      <c r="BH788" s="475"/>
      <c r="BI788" s="475"/>
      <c r="BJ788" s="475"/>
      <c r="BK788" s="475"/>
    </row>
    <row r="789" spans="7:63">
      <c r="G789" s="129"/>
      <c r="H789" s="466"/>
      <c r="AR789" s="461"/>
      <c r="AS789" s="461"/>
      <c r="AT789" s="475"/>
      <c r="AU789" s="475"/>
      <c r="AV789" s="475"/>
      <c r="AW789" s="475"/>
      <c r="AY789" s="461"/>
      <c r="AZ789" s="461"/>
      <c r="BA789" s="461"/>
      <c r="BB789" s="475"/>
      <c r="BD789" s="461"/>
      <c r="BE789" s="461"/>
      <c r="BF789" s="461"/>
      <c r="BG789" s="475"/>
      <c r="BH789" s="475"/>
      <c r="BI789" s="475"/>
      <c r="BJ789" s="475"/>
      <c r="BK789" s="475"/>
    </row>
    <row r="790" spans="7:63">
      <c r="G790" s="129"/>
      <c r="H790" s="466"/>
      <c r="AR790" s="461"/>
      <c r="AS790" s="461"/>
      <c r="AT790" s="475"/>
      <c r="AU790" s="475"/>
      <c r="AV790" s="475"/>
      <c r="AW790" s="475"/>
      <c r="AY790" s="461"/>
      <c r="AZ790" s="461"/>
      <c r="BA790" s="461"/>
      <c r="BB790" s="475"/>
      <c r="BD790" s="461"/>
      <c r="BE790" s="461"/>
      <c r="BF790" s="461"/>
      <c r="BG790" s="475"/>
      <c r="BH790" s="475"/>
      <c r="BI790" s="475"/>
      <c r="BJ790" s="475"/>
      <c r="BK790" s="475"/>
    </row>
    <row r="791" spans="7:63">
      <c r="G791" s="129"/>
      <c r="H791" s="466"/>
      <c r="AR791" s="461"/>
      <c r="AS791" s="461"/>
      <c r="AT791" s="475"/>
      <c r="AU791" s="475"/>
      <c r="AV791" s="475"/>
      <c r="AW791" s="475"/>
      <c r="AY791" s="461"/>
      <c r="AZ791" s="461"/>
      <c r="BA791" s="461"/>
      <c r="BB791" s="475"/>
      <c r="BD791" s="461"/>
      <c r="BE791" s="461"/>
      <c r="BF791" s="461"/>
      <c r="BG791" s="475"/>
      <c r="BH791" s="475"/>
      <c r="BI791" s="475"/>
      <c r="BJ791" s="475"/>
      <c r="BK791" s="475"/>
    </row>
    <row r="792" spans="7:63">
      <c r="G792" s="129"/>
      <c r="H792" s="466"/>
    </row>
    <row r="793" spans="7:63">
      <c r="G793" s="129"/>
      <c r="H793" s="466"/>
    </row>
    <row r="794" spans="7:63">
      <c r="H794" s="466"/>
    </row>
  </sheetData>
  <sheetProtection password="EB90" sheet="1" objects="1" scenarios="1"/>
  <mergeCells count="45">
    <mergeCell ref="B347:D347"/>
    <mergeCell ref="F127:G127"/>
    <mergeCell ref="C127:D127"/>
    <mergeCell ref="B135:G135"/>
    <mergeCell ref="F137:G137"/>
    <mergeCell ref="B344:G344"/>
    <mergeCell ref="B117:D117"/>
    <mergeCell ref="B118:D118"/>
    <mergeCell ref="B119:D119"/>
    <mergeCell ref="B120:D120"/>
    <mergeCell ref="B121:D121"/>
    <mergeCell ref="C361:D361"/>
    <mergeCell ref="C362:D362"/>
    <mergeCell ref="C363:D363"/>
    <mergeCell ref="B367:G367"/>
    <mergeCell ref="C356:D356"/>
    <mergeCell ref="C358:D358"/>
    <mergeCell ref="C360:D360"/>
    <mergeCell ref="E360:F360"/>
    <mergeCell ref="E353:F353"/>
    <mergeCell ref="C354:D354"/>
    <mergeCell ref="C355:D355"/>
    <mergeCell ref="B2:G2"/>
    <mergeCell ref="B4:G4"/>
    <mergeCell ref="B12:G12"/>
    <mergeCell ref="B41:G41"/>
    <mergeCell ref="B42:C42"/>
    <mergeCell ref="B43:G43"/>
    <mergeCell ref="B44:G44"/>
    <mergeCell ref="B45:G45"/>
    <mergeCell ref="B46:G46"/>
    <mergeCell ref="B115:G115"/>
    <mergeCell ref="B124:G124"/>
    <mergeCell ref="B125:G125"/>
    <mergeCell ref="B134:G134"/>
    <mergeCell ref="B1:G1"/>
    <mergeCell ref="B114:G114"/>
    <mergeCell ref="B8:G8"/>
    <mergeCell ref="C17:C18"/>
    <mergeCell ref="D17:D18"/>
    <mergeCell ref="E17:E18"/>
    <mergeCell ref="F17:F18"/>
    <mergeCell ref="G17:G18"/>
    <mergeCell ref="C16:G16"/>
    <mergeCell ref="B17:B18"/>
  </mergeCells>
  <conditionalFormatting sqref="C138:D138">
    <cfRule type="expression" dxfId="17" priority="18">
      <formula>$E$138="mandatory"</formula>
    </cfRule>
  </conditionalFormatting>
  <conditionalFormatting sqref="C139:D139">
    <cfRule type="expression" dxfId="16" priority="17">
      <formula>$E$139="mandatory"</formula>
    </cfRule>
  </conditionalFormatting>
  <conditionalFormatting sqref="C140:D140">
    <cfRule type="expression" dxfId="15" priority="16">
      <formula>$E$140="mandatory"</formula>
    </cfRule>
  </conditionalFormatting>
  <conditionalFormatting sqref="C141:D141">
    <cfRule type="expression" dxfId="14" priority="15">
      <formula>$E$141="mandatory"</formula>
    </cfRule>
  </conditionalFormatting>
  <conditionalFormatting sqref="C128">
    <cfRule type="expression" dxfId="13" priority="14">
      <formula>$D$128="mandatory"</formula>
    </cfRule>
  </conditionalFormatting>
  <conditionalFormatting sqref="C129">
    <cfRule type="expression" dxfId="12" priority="13">
      <formula>$D$129="mandatory"</formula>
    </cfRule>
  </conditionalFormatting>
  <conditionalFormatting sqref="C130">
    <cfRule type="expression" dxfId="11" priority="12">
      <formula>$D$130="mandatory"</formula>
    </cfRule>
  </conditionalFormatting>
  <conditionalFormatting sqref="C131">
    <cfRule type="expression" dxfId="10" priority="11">
      <formula>$D$131="mandatory"</formula>
    </cfRule>
  </conditionalFormatting>
  <conditionalFormatting sqref="D19:D38">
    <cfRule type="expression" dxfId="9" priority="10">
      <formula>$C$15&gt;0</formula>
    </cfRule>
  </conditionalFormatting>
  <conditionalFormatting sqref="E19:E38">
    <cfRule type="expression" dxfId="8" priority="9">
      <formula>$D$15&gt;0</formula>
    </cfRule>
  </conditionalFormatting>
  <conditionalFormatting sqref="F19:F38">
    <cfRule type="expression" dxfId="7" priority="8">
      <formula>$E$15&gt;0</formula>
    </cfRule>
  </conditionalFormatting>
  <conditionalFormatting sqref="G19:G38">
    <cfRule type="expression" dxfId="6" priority="7">
      <formula>$F$15&gt;0</formula>
    </cfRule>
  </conditionalFormatting>
  <conditionalFormatting sqref="E118">
    <cfRule type="expression" dxfId="5" priority="4">
      <formula>$B$118&lt;&gt;""</formula>
    </cfRule>
  </conditionalFormatting>
  <conditionalFormatting sqref="E119">
    <cfRule type="expression" dxfId="4" priority="3">
      <formula>$B$119&lt;&gt;""</formula>
    </cfRule>
  </conditionalFormatting>
  <conditionalFormatting sqref="E120">
    <cfRule type="expression" dxfId="3" priority="2">
      <formula>$B$120&lt;&gt;""</formula>
    </cfRule>
  </conditionalFormatting>
  <conditionalFormatting sqref="E121">
    <cfRule type="expression" dxfId="2" priority="1">
      <formula>$B$121&lt;&gt;""</formula>
    </cfRule>
  </conditionalFormatting>
  <dataValidations count="8">
    <dataValidation type="decimal" operator="greaterThanOrEqual" allowBlank="1" showErrorMessage="1" error="Enter a value greater than or equal to zero." sqref="C15 C19:G38 E49:F68 C130:C131">
      <formula1>0</formula1>
    </dataValidation>
    <dataValidation type="decimal" operator="greaterThan" allowBlank="1" showErrorMessage="1" error="Enter a value greater than the endpoint of consumption block 1." sqref="D15">
      <formula1>C15</formula1>
    </dataValidation>
    <dataValidation type="decimal" operator="greaterThan" allowBlank="1" showErrorMessage="1" error="Enter a value greater than the endpoint of consumption block 2." sqref="E15">
      <formula1>D15</formula1>
    </dataValidation>
    <dataValidation type="decimal" operator="greaterThan" allowBlank="1" showErrorMessage="1" error="Enter a value greater than the endpoint of consumption block 3." sqref="F15">
      <formula1>E15</formula1>
    </dataValidation>
    <dataValidation type="whole" operator="greaterThanOrEqual" allowBlank="1" showErrorMessage="1" error="Enter a valid year (yyyy)." sqref="C9">
      <formula1>2010</formula1>
    </dataValidation>
    <dataValidation type="decimal" operator="greaterThanOrEqual" allowBlank="1" showErrorMessage="1" error="Enter a numeric value." sqref="C49:D68">
      <formula1>-100</formula1>
    </dataValidation>
    <dataValidation type="decimal" operator="greaterThanOrEqual" allowBlank="1" showErrorMessage="1" error="Enter a percentage greater than or equal to -100%" sqref="E117:E121">
      <formula1>-1</formula1>
    </dataValidation>
    <dataValidation type="decimal" operator="greaterThanOrEqual" allowBlank="1" showErrorMessage="1" error="Enter a temperature greater than -50 degrees Fahrenheit." sqref="C128:C129">
      <formula1>-50</formula1>
    </dataValidation>
  </dataValidations>
  <hyperlinks>
    <hyperlink ref="D42" r:id="rId1" location="app=cdo&amp;cfg=cdo&amp;theme=annual&amp;layers=1&amp;node=gis" display="http://gis.ncdc.noaa.gov/map/viewer/ - app=cdo&amp;cfg=cdo&amp;theme=annual&amp;layers=1&amp;node=gis"/>
  </hyperlinks>
  <pageMargins left="0" right="0" top="1" bottom="1" header="0.5" footer="0.5"/>
  <pageSetup paperSize="17" scale="57" orientation="landscape" horizontalDpi="300" verticalDpi="300" r:id="rId2"/>
  <headerFooter alignWithMargins="0"/>
  <ignoredErrors>
    <ignoredError sqref="D130" formula="1"/>
  </ignoredErrors>
  <drawing r:id="rId3"/>
  <extLst>
    <ext xmlns:x14="http://schemas.microsoft.com/office/spreadsheetml/2009/9/main" uri="{78C0D931-6437-407d-A8EE-F0AAD7539E65}">
      <x14:conditionalFormattings>
        <x14:conditionalFormatting xmlns:xm="http://schemas.microsoft.com/office/excel/2006/main">
          <x14:cfRule type="expression" priority="6" id="{2EAE7C08-5695-4D71-8596-F6406139DDCA}">
            <xm:f>$C$6=Callouts!$N$2</xm:f>
            <x14:dxf>
              <fill>
                <patternFill>
                  <bgColor theme="1"/>
                </patternFill>
              </fill>
            </x14:dxf>
          </x14:cfRule>
          <xm:sqref>E116</xm:sqref>
        </x14:conditionalFormatting>
        <x14:conditionalFormatting xmlns:xm="http://schemas.microsoft.com/office/excel/2006/main">
          <x14:cfRule type="expression" priority="5" id="{25267E94-9E95-4C78-8DDC-25BF09A1465C}">
            <xm:f>$C$6=Callouts!$N$2</xm:f>
            <x14:dxf>
              <font>
                <color theme="1"/>
              </font>
              <fill>
                <patternFill>
                  <bgColor theme="1"/>
                </patternFill>
              </fill>
            </x14:dxf>
          </x14:cfRule>
          <xm:sqref>E116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H59"/>
  <sheetViews>
    <sheetView showGridLines="0" zoomScaleNormal="100" workbookViewId="0">
      <pane ySplit="2" topLeftCell="A3" activePane="bottomLeft" state="frozen"/>
      <selection activeCell="O5" sqref="O5"/>
      <selection pane="bottomLeft" activeCell="A62" sqref="A62"/>
    </sheetView>
  </sheetViews>
  <sheetFormatPr defaultRowHeight="14.25"/>
  <cols>
    <col min="1" max="1" width="11.85546875" style="77" customWidth="1"/>
    <col min="2" max="9" width="9.140625" style="77" customWidth="1"/>
    <col min="10" max="10" width="2.85546875" style="77" customWidth="1"/>
    <col min="11" max="11" width="5.85546875" style="77" customWidth="1"/>
    <col min="12" max="12" width="30" style="77" customWidth="1"/>
    <col min="13" max="13" width="20.140625" style="78" bestFit="1" customWidth="1"/>
    <col min="14" max="14" width="16.42578125" style="77" customWidth="1"/>
    <col min="15" max="15" width="2.140625" style="77" customWidth="1"/>
    <col min="16" max="16384" width="9.140625" style="77"/>
  </cols>
  <sheetData>
    <row r="1" spans="2:29" s="36" customFormat="1" ht="36.75" customHeight="1">
      <c r="B1" s="1056" t="s">
        <v>377</v>
      </c>
      <c r="C1" s="1056"/>
      <c r="D1" s="1056"/>
      <c r="E1" s="1056"/>
      <c r="F1" s="1056"/>
      <c r="G1" s="1056"/>
      <c r="H1" s="1056"/>
      <c r="I1" s="1056"/>
      <c r="J1" s="1056"/>
      <c r="K1" s="1056"/>
      <c r="L1" s="1056"/>
      <c r="M1" s="1056"/>
      <c r="N1" s="1056"/>
      <c r="O1" s="1056"/>
      <c r="P1" s="41"/>
      <c r="Q1" s="41"/>
      <c r="R1" s="41"/>
      <c r="S1" s="41"/>
      <c r="T1" s="41"/>
      <c r="U1" s="41"/>
      <c r="V1" s="41"/>
      <c r="W1" s="41"/>
      <c r="X1" s="41"/>
      <c r="Y1" s="41"/>
      <c r="Z1" s="41"/>
      <c r="AA1" s="41"/>
      <c r="AB1" s="41"/>
      <c r="AC1" s="41"/>
    </row>
    <row r="2" spans="2:29" s="34" customFormat="1" ht="36.75" customHeight="1">
      <c r="B2" s="1057" t="s">
        <v>489</v>
      </c>
      <c r="C2" s="1057"/>
      <c r="D2" s="1057"/>
      <c r="E2" s="1057"/>
      <c r="F2" s="1057"/>
      <c r="G2" s="1057"/>
      <c r="H2" s="1057"/>
      <c r="I2" s="1057"/>
      <c r="J2" s="1057"/>
      <c r="K2" s="1057"/>
      <c r="L2" s="1057"/>
      <c r="M2" s="1057"/>
      <c r="N2" s="1057"/>
      <c r="O2" s="1057"/>
      <c r="P2" s="42"/>
      <c r="Q2" s="42"/>
      <c r="R2" s="42"/>
      <c r="S2" s="42"/>
      <c r="T2" s="42"/>
      <c r="U2" s="42"/>
      <c r="V2" s="42"/>
      <c r="W2" s="42"/>
      <c r="X2" s="42"/>
      <c r="Y2" s="42"/>
      <c r="Z2" s="42"/>
      <c r="AA2" s="42"/>
      <c r="AB2" s="42"/>
      <c r="AC2" s="42"/>
    </row>
    <row r="3" spans="2:29" s="34" customFormat="1" ht="13.5" thickBot="1">
      <c r="B3" s="540"/>
      <c r="C3" s="540"/>
      <c r="D3" s="540"/>
      <c r="E3" s="540"/>
      <c r="F3" s="540"/>
      <c r="G3" s="540"/>
      <c r="H3" s="540"/>
      <c r="I3" s="540"/>
      <c r="J3" s="540"/>
      <c r="K3" s="540"/>
      <c r="L3" s="540"/>
      <c r="M3" s="540"/>
      <c r="N3" s="540"/>
      <c r="O3" s="540"/>
      <c r="P3" s="42"/>
      <c r="Q3" s="42"/>
      <c r="R3" s="42"/>
      <c r="S3" s="42"/>
      <c r="T3" s="42"/>
      <c r="U3" s="42"/>
      <c r="V3" s="42"/>
      <c r="W3" s="42"/>
      <c r="X3" s="42"/>
      <c r="Y3" s="42"/>
      <c r="Z3" s="42"/>
      <c r="AA3" s="42"/>
      <c r="AB3" s="42"/>
      <c r="AC3" s="42"/>
    </row>
    <row r="4" spans="2:29" ht="15.75" customHeight="1">
      <c r="B4" s="1121" t="s">
        <v>374</v>
      </c>
      <c r="C4" s="1122"/>
      <c r="D4" s="1122"/>
      <c r="E4" s="1122"/>
      <c r="F4" s="1122"/>
      <c r="G4" s="1122"/>
      <c r="H4" s="1122"/>
      <c r="I4" s="1122"/>
      <c r="J4" s="1122"/>
      <c r="K4" s="1122"/>
      <c r="L4" s="1122"/>
      <c r="M4" s="1122"/>
      <c r="N4" s="1122"/>
      <c r="O4" s="1123"/>
    </row>
    <row r="5" spans="2:29" ht="15.75" customHeight="1" thickBot="1">
      <c r="B5" s="1124"/>
      <c r="C5" s="1125"/>
      <c r="D5" s="1125"/>
      <c r="E5" s="1125"/>
      <c r="F5" s="1125"/>
      <c r="G5" s="1125"/>
      <c r="H5" s="1125"/>
      <c r="I5" s="1125"/>
      <c r="J5" s="1125"/>
      <c r="K5" s="1125"/>
      <c r="L5" s="1125"/>
      <c r="M5" s="1125"/>
      <c r="N5" s="1125"/>
      <c r="O5" s="1126"/>
    </row>
    <row r="6" spans="2:29">
      <c r="B6" s="72" t="str">
        <f>IF('Input COMPARATIVE Rates'!$C$6=Callouts!$N$2,"Note: Based on user selection in the 'Input COMPARATIVE Rates' tab, COMPARATIVE rates are IDENTICAL to the REFERENCE rates.","")</f>
        <v/>
      </c>
    </row>
    <row r="7" spans="2:29" ht="15" thickBot="1"/>
    <row r="8" spans="2:29" hidden="1"/>
    <row r="9" spans="2:29" ht="15" hidden="1" thickBot="1"/>
    <row r="10" spans="2:29" ht="54.75" customHeight="1">
      <c r="B10" s="1127" t="s">
        <v>464</v>
      </c>
      <c r="C10" s="1128"/>
      <c r="D10" s="1128"/>
      <c r="E10" s="1128"/>
      <c r="F10" s="1128"/>
      <c r="G10" s="1128"/>
      <c r="H10" s="1128"/>
      <c r="I10" s="1128"/>
      <c r="J10" s="1128"/>
      <c r="K10" s="1128"/>
      <c r="L10" s="1128"/>
      <c r="M10" s="1128"/>
      <c r="N10" s="1128"/>
      <c r="O10" s="1129"/>
    </row>
    <row r="11" spans="2:29" hidden="1">
      <c r="B11" s="82"/>
      <c r="C11" s="83"/>
      <c r="D11" s="83"/>
      <c r="E11" s="83"/>
      <c r="F11" s="83"/>
      <c r="G11" s="83"/>
      <c r="H11" s="83"/>
      <c r="I11" s="83"/>
      <c r="J11" s="83"/>
      <c r="K11" s="83"/>
      <c r="L11" s="83"/>
      <c r="M11" s="83"/>
      <c r="N11" s="83"/>
      <c r="O11" s="84"/>
    </row>
    <row r="12" spans="2:29" hidden="1">
      <c r="B12" s="82"/>
      <c r="C12" s="83"/>
      <c r="D12" s="83"/>
      <c r="E12" s="83"/>
      <c r="F12" s="83"/>
      <c r="G12" s="83"/>
      <c r="H12" s="83"/>
      <c r="I12" s="83"/>
      <c r="J12" s="83"/>
      <c r="K12" s="83"/>
      <c r="L12" s="1130"/>
      <c r="M12" s="1130"/>
      <c r="N12" s="1131" t="s">
        <v>333</v>
      </c>
      <c r="O12" s="84"/>
    </row>
    <row r="13" spans="2:29" hidden="1">
      <c r="B13" s="82"/>
      <c r="C13" s="83"/>
      <c r="D13" s="83"/>
      <c r="E13" s="83"/>
      <c r="F13" s="83"/>
      <c r="G13" s="83"/>
      <c r="H13" s="83"/>
      <c r="I13" s="83"/>
      <c r="J13" s="83"/>
      <c r="K13" s="83"/>
      <c r="L13" s="1130"/>
      <c r="M13" s="1130"/>
      <c r="N13" s="1131"/>
      <c r="O13" s="84"/>
    </row>
    <row r="14" spans="2:29" hidden="1">
      <c r="B14" s="82"/>
      <c r="C14" s="83"/>
      <c r="D14" s="83"/>
      <c r="E14" s="83"/>
      <c r="F14" s="83"/>
      <c r="G14" s="83"/>
      <c r="H14" s="83"/>
      <c r="I14" s="83"/>
      <c r="J14" s="83"/>
      <c r="K14" s="83"/>
      <c r="L14" s="83"/>
      <c r="M14" s="85"/>
      <c r="N14" s="86"/>
      <c r="O14" s="84"/>
    </row>
    <row r="15" spans="2:29" ht="15" thickBot="1">
      <c r="B15" s="82"/>
      <c r="C15" s="83"/>
      <c r="D15" s="83"/>
      <c r="E15" s="83"/>
      <c r="F15" s="83"/>
      <c r="G15" s="83"/>
      <c r="H15" s="83"/>
      <c r="I15" s="83"/>
      <c r="J15" s="83"/>
      <c r="K15" s="83"/>
      <c r="L15" s="83"/>
      <c r="M15" s="87"/>
      <c r="N15" s="86"/>
      <c r="O15" s="84"/>
    </row>
    <row r="16" spans="2:29" ht="43.5" customHeight="1">
      <c r="B16" s="82"/>
      <c r="C16" s="83"/>
      <c r="D16" s="83"/>
      <c r="E16" s="83"/>
      <c r="F16" s="83"/>
      <c r="G16" s="83"/>
      <c r="H16" s="83"/>
      <c r="I16" s="83"/>
      <c r="J16" s="83"/>
      <c r="K16" s="83"/>
      <c r="L16" s="1140" t="s">
        <v>495</v>
      </c>
      <c r="M16" s="1141"/>
      <c r="N16" s="1142"/>
      <c r="O16" s="493"/>
    </row>
    <row r="17" spans="2:17">
      <c r="B17" s="82"/>
      <c r="C17" s="83"/>
      <c r="D17" s="83"/>
      <c r="E17" s="83"/>
      <c r="F17" s="83"/>
      <c r="G17" s="83"/>
      <c r="H17" s="83"/>
      <c r="I17" s="83"/>
      <c r="J17" s="83"/>
      <c r="K17" s="83"/>
      <c r="L17" s="889"/>
      <c r="M17" s="209"/>
      <c r="N17" s="210"/>
      <c r="O17" s="101"/>
    </row>
    <row r="18" spans="2:17" ht="15" customHeight="1">
      <c r="B18" s="82"/>
      <c r="C18" s="83"/>
      <c r="D18" s="83"/>
      <c r="E18" s="83"/>
      <c r="F18" s="83"/>
      <c r="G18" s="83"/>
      <c r="H18" s="83"/>
      <c r="I18" s="83"/>
      <c r="J18" s="83"/>
      <c r="K18" s="83"/>
      <c r="L18" s="1132" t="str">
        <f>'Normal Weather Change'!B386</f>
        <v>Estimated maximum potential GAIN from fluctuating weather patterns</v>
      </c>
      <c r="M18" s="1133"/>
      <c r="N18" s="1134">
        <f>'Normal Weather Change'!C386</f>
        <v>2059000</v>
      </c>
      <c r="O18" s="101"/>
    </row>
    <row r="19" spans="2:17" ht="15" customHeight="1">
      <c r="B19" s="82"/>
      <c r="C19" s="83"/>
      <c r="D19" s="83"/>
      <c r="E19" s="83"/>
      <c r="F19" s="83"/>
      <c r="G19" s="83"/>
      <c r="H19" s="83"/>
      <c r="I19" s="83"/>
      <c r="J19" s="83"/>
      <c r="K19" s="83"/>
      <c r="L19" s="1132"/>
      <c r="M19" s="1133"/>
      <c r="N19" s="1134"/>
      <c r="O19" s="102"/>
    </row>
    <row r="20" spans="2:17" ht="15" customHeight="1">
      <c r="B20" s="82"/>
      <c r="C20" s="83"/>
      <c r="D20" s="83"/>
      <c r="E20" s="83"/>
      <c r="F20" s="83"/>
      <c r="G20" s="83"/>
      <c r="H20" s="83"/>
      <c r="I20" s="83"/>
      <c r="J20" s="83"/>
      <c r="K20" s="83"/>
      <c r="L20" s="211"/>
      <c r="M20" s="106"/>
      <c r="N20" s="210"/>
      <c r="O20" s="102"/>
    </row>
    <row r="21" spans="2:17" ht="15" customHeight="1">
      <c r="B21" s="82"/>
      <c r="C21" s="83"/>
      <c r="D21" s="83"/>
      <c r="E21" s="83"/>
      <c r="F21" s="83"/>
      <c r="G21" s="83"/>
      <c r="H21" s="83"/>
      <c r="I21" s="83"/>
      <c r="J21" s="83"/>
      <c r="K21" s="83"/>
      <c r="L21" s="1135" t="s">
        <v>493</v>
      </c>
      <c r="M21" s="1136"/>
      <c r="N21" s="210"/>
      <c r="O21" s="102"/>
    </row>
    <row r="22" spans="2:17" ht="15" customHeight="1">
      <c r="B22" s="82"/>
      <c r="C22" s="83"/>
      <c r="D22" s="83"/>
      <c r="E22" s="83"/>
      <c r="F22" s="83"/>
      <c r="G22" s="83"/>
      <c r="H22" s="83"/>
      <c r="I22" s="83"/>
      <c r="J22" s="83"/>
      <c r="K22" s="83"/>
      <c r="L22" s="1135"/>
      <c r="M22" s="1136"/>
      <c r="N22" s="213">
        <f>'Normal Weather Change'!C381</f>
        <v>16419000</v>
      </c>
      <c r="O22" s="102"/>
    </row>
    <row r="23" spans="2:17" ht="15" customHeight="1">
      <c r="B23" s="82"/>
      <c r="C23" s="83"/>
      <c r="D23" s="83"/>
      <c r="E23" s="83"/>
      <c r="F23" s="83"/>
      <c r="G23" s="83"/>
      <c r="H23" s="83"/>
      <c r="I23" s="83"/>
      <c r="J23" s="83"/>
      <c r="K23" s="83"/>
      <c r="L23" s="889"/>
      <c r="M23" s="209"/>
      <c r="N23" s="210"/>
      <c r="O23" s="101"/>
    </row>
    <row r="24" spans="2:17" ht="15" customHeight="1">
      <c r="B24" s="82"/>
      <c r="C24" s="83"/>
      <c r="D24" s="83"/>
      <c r="E24" s="83"/>
      <c r="F24" s="83"/>
      <c r="G24" s="83"/>
      <c r="H24" s="83"/>
      <c r="I24" s="83"/>
      <c r="J24" s="83"/>
      <c r="K24" s="83"/>
      <c r="L24" s="1135" t="str">
        <f>'Normal Weather Change'!B389</f>
        <v>Estimated maximum potential LOSS from fluctuating weather patterns</v>
      </c>
      <c r="M24" s="1136"/>
      <c r="N24" s="1134">
        <f>-'Normal Weather Change'!C389</f>
        <v>-2133000</v>
      </c>
      <c r="O24" s="101"/>
    </row>
    <row r="25" spans="2:17" ht="15" customHeight="1" thickBot="1">
      <c r="B25" s="82"/>
      <c r="C25" s="83"/>
      <c r="D25" s="83"/>
      <c r="E25" s="83"/>
      <c r="F25" s="83"/>
      <c r="G25" s="83"/>
      <c r="H25" s="83"/>
      <c r="I25" s="83"/>
      <c r="J25" s="83"/>
      <c r="K25" s="83"/>
      <c r="L25" s="1137"/>
      <c r="M25" s="1138"/>
      <c r="N25" s="1139"/>
      <c r="O25" s="102"/>
    </row>
    <row r="26" spans="2:17" ht="15" customHeight="1">
      <c r="B26" s="82"/>
      <c r="C26" s="83"/>
      <c r="D26" s="83"/>
      <c r="E26" s="83"/>
      <c r="F26" s="83"/>
      <c r="G26" s="83"/>
      <c r="H26" s="83"/>
      <c r="I26" s="83"/>
      <c r="J26" s="83"/>
      <c r="K26" s="83"/>
      <c r="L26" s="597"/>
      <c r="M26" s="100"/>
      <c r="N26" s="887"/>
      <c r="O26" s="102"/>
    </row>
    <row r="27" spans="2:17" ht="15" customHeight="1">
      <c r="B27" s="82"/>
      <c r="C27" s="83"/>
      <c r="D27" s="83"/>
      <c r="E27" s="83"/>
      <c r="F27" s="83"/>
      <c r="G27" s="83"/>
      <c r="H27" s="83"/>
      <c r="I27" s="83"/>
      <c r="J27" s="83"/>
      <c r="K27" s="83"/>
      <c r="L27" s="83"/>
      <c r="M27" s="100"/>
      <c r="N27" s="887"/>
      <c r="O27" s="102"/>
    </row>
    <row r="28" spans="2:17" ht="15" customHeight="1">
      <c r="B28" s="82"/>
      <c r="C28" s="83"/>
      <c r="D28" s="83"/>
      <c r="E28" s="83"/>
      <c r="F28" s="83"/>
      <c r="G28" s="83"/>
      <c r="H28" s="83"/>
      <c r="I28" s="83"/>
      <c r="J28" s="83"/>
      <c r="K28" s="83"/>
      <c r="L28" s="597"/>
      <c r="M28" s="83"/>
      <c r="N28" s="83"/>
      <c r="O28" s="102"/>
    </row>
    <row r="29" spans="2:17" ht="15" customHeight="1">
      <c r="B29" s="82"/>
      <c r="C29" s="83"/>
      <c r="D29" s="83"/>
      <c r="E29" s="83"/>
      <c r="F29" s="83"/>
      <c r="G29" s="83"/>
      <c r="H29" s="83"/>
      <c r="I29" s="83"/>
      <c r="J29" s="83"/>
      <c r="K29" s="83"/>
      <c r="L29" s="597"/>
      <c r="M29" s="83"/>
      <c r="N29" s="83"/>
      <c r="O29" s="101"/>
    </row>
    <row r="30" spans="2:17">
      <c r="B30" s="82"/>
      <c r="C30" s="83"/>
      <c r="D30" s="83"/>
      <c r="E30" s="83"/>
      <c r="F30" s="83"/>
      <c r="G30" s="83"/>
      <c r="H30" s="83"/>
      <c r="I30" s="83"/>
      <c r="J30" s="83"/>
      <c r="K30" s="83"/>
      <c r="L30" s="83"/>
      <c r="M30" s="83"/>
      <c r="N30" s="83"/>
      <c r="O30" s="84"/>
    </row>
    <row r="31" spans="2:17" ht="15">
      <c r="B31" s="82"/>
      <c r="C31" s="83"/>
      <c r="D31" s="83"/>
      <c r="E31" s="83"/>
      <c r="F31" s="83"/>
      <c r="G31" s="83"/>
      <c r="H31" s="83"/>
      <c r="I31" s="83"/>
      <c r="J31" s="83"/>
      <c r="K31" s="83"/>
      <c r="L31" s="83"/>
      <c r="M31" s="83"/>
      <c r="N31" s="83"/>
      <c r="O31" s="84"/>
      <c r="Q31" s="76"/>
    </row>
    <row r="32" spans="2:17" ht="15" thickBot="1">
      <c r="B32" s="88"/>
      <c r="C32" s="89"/>
      <c r="D32" s="89"/>
      <c r="E32" s="89"/>
      <c r="F32" s="89"/>
      <c r="G32" s="89"/>
      <c r="H32" s="89"/>
      <c r="I32" s="89"/>
      <c r="J32" s="89"/>
      <c r="K32" s="89"/>
      <c r="L32" s="89"/>
      <c r="M32" s="89"/>
      <c r="N32" s="89"/>
      <c r="O32" s="90"/>
    </row>
    <row r="34" spans="1:34" ht="15" thickBot="1"/>
    <row r="35" spans="1:34" ht="78.75" customHeight="1">
      <c r="B35" s="1127" t="s">
        <v>494</v>
      </c>
      <c r="C35" s="1128"/>
      <c r="D35" s="1128"/>
      <c r="E35" s="1128"/>
      <c r="F35" s="1128"/>
      <c r="G35" s="1128"/>
      <c r="H35" s="1128"/>
      <c r="I35" s="1128"/>
      <c r="J35" s="1128"/>
      <c r="K35" s="1128"/>
      <c r="L35" s="1128"/>
      <c r="M35" s="1128"/>
      <c r="N35" s="1128"/>
      <c r="O35" s="1129"/>
    </row>
    <row r="36" spans="1:34" hidden="1">
      <c r="B36" s="82"/>
      <c r="C36" s="83"/>
      <c r="D36" s="83"/>
      <c r="E36" s="83"/>
      <c r="F36" s="83"/>
      <c r="G36" s="83"/>
      <c r="H36" s="83"/>
      <c r="I36" s="83"/>
      <c r="J36" s="83"/>
      <c r="K36" s="83"/>
      <c r="L36" s="83"/>
      <c r="M36" s="83"/>
      <c r="N36" s="83"/>
      <c r="O36" s="84"/>
    </row>
    <row r="37" spans="1:34" hidden="1">
      <c r="B37" s="82"/>
      <c r="C37" s="83"/>
      <c r="D37" s="83"/>
      <c r="E37" s="83"/>
      <c r="F37" s="83"/>
      <c r="G37" s="83"/>
      <c r="H37" s="83"/>
      <c r="I37" s="83"/>
      <c r="J37" s="83"/>
      <c r="K37" s="83"/>
      <c r="L37" s="83"/>
      <c r="M37" s="83"/>
      <c r="N37" s="83"/>
      <c r="O37" s="84"/>
    </row>
    <row r="38" spans="1:34" ht="15" thickBot="1">
      <c r="A38" s="80"/>
      <c r="B38" s="82"/>
      <c r="C38" s="83"/>
      <c r="D38" s="83"/>
      <c r="E38" s="83"/>
      <c r="F38" s="83"/>
      <c r="G38" s="83"/>
      <c r="H38" s="83"/>
      <c r="I38" s="83"/>
      <c r="J38" s="83"/>
      <c r="K38" s="83"/>
      <c r="L38" s="83"/>
      <c r="M38" s="83"/>
      <c r="N38" s="83"/>
      <c r="O38" s="84"/>
    </row>
    <row r="39" spans="1:34" ht="12.75" customHeight="1">
      <c r="A39" s="80"/>
      <c r="B39" s="82"/>
      <c r="C39" s="83"/>
      <c r="D39" s="83"/>
      <c r="E39" s="83"/>
      <c r="F39" s="83"/>
      <c r="G39" s="83"/>
      <c r="H39" s="83"/>
      <c r="I39" s="83"/>
      <c r="J39" s="83"/>
      <c r="K39" s="83"/>
      <c r="L39" s="1113" t="s">
        <v>351</v>
      </c>
      <c r="M39" s="1115" t="s">
        <v>313</v>
      </c>
      <c r="N39" s="1117" t="s">
        <v>354</v>
      </c>
      <c r="O39" s="103"/>
    </row>
    <row r="40" spans="1:34" ht="30" customHeight="1">
      <c r="A40" s="80"/>
      <c r="B40" s="82"/>
      <c r="C40" s="83"/>
      <c r="D40" s="83"/>
      <c r="E40" s="83"/>
      <c r="F40" s="83"/>
      <c r="G40" s="83"/>
      <c r="H40" s="83"/>
      <c r="I40" s="83"/>
      <c r="J40" s="83"/>
      <c r="K40" s="83"/>
      <c r="L40" s="1114"/>
      <c r="M40" s="1116"/>
      <c r="N40" s="1118"/>
      <c r="O40" s="103"/>
      <c r="AH40" s="77" t="s">
        <v>1</v>
      </c>
    </row>
    <row r="41" spans="1:34" ht="18.75" customHeight="1">
      <c r="A41" s="80"/>
      <c r="B41" s="82"/>
      <c r="C41" s="83"/>
      <c r="D41" s="83"/>
      <c r="E41" s="83"/>
      <c r="F41" s="83"/>
      <c r="G41" s="83"/>
      <c r="H41" s="83"/>
      <c r="I41" s="83"/>
      <c r="J41" s="83"/>
      <c r="K41" s="83"/>
      <c r="L41" s="214" t="s">
        <v>350</v>
      </c>
      <c r="M41" s="104">
        <f>'Compare - only changing rates'!M11</f>
        <v>16419000</v>
      </c>
      <c r="N41" s="105"/>
      <c r="O41" s="103"/>
    </row>
    <row r="42" spans="1:34">
      <c r="A42" s="80"/>
      <c r="B42" s="82"/>
      <c r="C42" s="83"/>
      <c r="D42" s="83"/>
      <c r="E42" s="83"/>
      <c r="F42" s="83"/>
      <c r="G42" s="83"/>
      <c r="H42" s="83"/>
      <c r="I42" s="83"/>
      <c r="J42" s="83"/>
      <c r="K42" s="83"/>
      <c r="L42" s="214"/>
      <c r="M42" s="106"/>
      <c r="N42" s="107"/>
      <c r="O42" s="103"/>
    </row>
    <row r="43" spans="1:34" ht="20.25" customHeight="1">
      <c r="A43" s="80"/>
      <c r="B43" s="82"/>
      <c r="C43" s="83"/>
      <c r="D43" s="83"/>
      <c r="E43" s="83"/>
      <c r="F43" s="83"/>
      <c r="G43" s="83"/>
      <c r="H43" s="83"/>
      <c r="I43" s="83"/>
      <c r="J43" s="83"/>
      <c r="K43" s="83"/>
      <c r="L43" s="214" t="s">
        <v>352</v>
      </c>
      <c r="M43" s="106">
        <f>MIN('Normal Weather Change'!E347:F347)</f>
        <v>14286000</v>
      </c>
      <c r="N43" s="108">
        <f>(M43-M41)/M41</f>
        <v>-0.12991046957792801</v>
      </c>
      <c r="O43" s="103"/>
    </row>
    <row r="44" spans="1:34" ht="20.25" customHeight="1" thickBot="1">
      <c r="A44" s="80"/>
      <c r="B44" s="82"/>
      <c r="C44" s="83"/>
      <c r="D44" s="83"/>
      <c r="E44" s="83"/>
      <c r="F44" s="83"/>
      <c r="G44" s="83"/>
      <c r="H44" s="83"/>
      <c r="I44" s="83"/>
      <c r="J44" s="83"/>
      <c r="K44" s="83"/>
      <c r="L44" s="215" t="s">
        <v>353</v>
      </c>
      <c r="M44" s="109">
        <f>MAX('Normal Weather Change'!E347:F347)</f>
        <v>18478000</v>
      </c>
      <c r="N44" s="110">
        <f>(M44-M41)/M41</f>
        <v>0.12540349594981423</v>
      </c>
      <c r="O44" s="103"/>
      <c r="P44" s="81"/>
      <c r="Q44" s="81"/>
      <c r="R44" s="81"/>
    </row>
    <row r="45" spans="1:34" hidden="1">
      <c r="A45" s="80"/>
      <c r="B45" s="82"/>
      <c r="C45" s="83"/>
      <c r="D45" s="83"/>
      <c r="E45" s="83"/>
      <c r="F45" s="83"/>
      <c r="G45" s="83"/>
      <c r="H45" s="83"/>
      <c r="I45" s="83"/>
      <c r="J45" s="83"/>
      <c r="K45" s="83"/>
      <c r="L45" s="83"/>
      <c r="M45" s="83"/>
      <c r="N45" s="83"/>
      <c r="O45" s="103"/>
      <c r="P45" s="81"/>
      <c r="Q45" s="81"/>
      <c r="R45" s="81"/>
    </row>
    <row r="46" spans="1:34">
      <c r="A46" s="80"/>
      <c r="B46" s="82"/>
      <c r="C46" s="83"/>
      <c r="D46" s="83"/>
      <c r="E46" s="83"/>
      <c r="F46" s="83"/>
      <c r="G46" s="83"/>
      <c r="H46" s="83"/>
      <c r="I46" s="83"/>
      <c r="J46" s="83"/>
      <c r="K46" s="83"/>
      <c r="L46" s="83"/>
      <c r="M46" s="83"/>
      <c r="N46" s="83"/>
      <c r="O46" s="103"/>
      <c r="P46" s="81"/>
      <c r="Q46" s="81"/>
      <c r="R46" s="81"/>
    </row>
    <row r="47" spans="1:34">
      <c r="A47" s="80"/>
      <c r="B47" s="82"/>
      <c r="C47" s="83"/>
      <c r="D47" s="83"/>
      <c r="E47" s="83"/>
      <c r="F47" s="83"/>
      <c r="G47" s="83"/>
      <c r="H47" s="83"/>
      <c r="I47" s="83"/>
      <c r="J47" s="83"/>
      <c r="K47" s="83"/>
      <c r="L47" s="1119" t="str">
        <f>"The COMPARATIVE rate structure is projected to generate "&amp;DOLLAR(M41,0)&amp;" during the year, if weather and residential consumption patterns remain identical to the reference year, accounting for price elasticity. However, since temperature and precipitation will likely vary, projections of revenues include a range. "&amp;"Accounting for the full range of temperatures and precipitations levels selected by the user, the model projects that the COMPARATIVE rate structure will generate between "&amp;100+ROUND(N43*100,1)&amp;"% and "&amp;100+ROUND(N44*100,1)&amp;"% of that dollar value."</f>
        <v>The COMPARATIVE rate structure is projected to generate $16,419,000 during the year, if weather and residential consumption patterns remain identical to the reference year, accounting for price elasticity. However, since temperature and precipitation will likely vary, projections of revenues include a range. Accounting for the full range of temperatures and precipitations levels selected by the user, the model projects that the COMPARATIVE rate structure will generate between 87% and 112.5% of that dollar value.</v>
      </c>
      <c r="M47" s="1119"/>
      <c r="N47" s="1119"/>
      <c r="O47" s="103"/>
      <c r="P47" s="81"/>
      <c r="Q47" s="81"/>
      <c r="R47" s="81"/>
    </row>
    <row r="48" spans="1:34">
      <c r="A48" s="80"/>
      <c r="B48" s="82"/>
      <c r="C48" s="83"/>
      <c r="D48" s="83"/>
      <c r="E48" s="83"/>
      <c r="F48" s="83"/>
      <c r="G48" s="83"/>
      <c r="H48" s="83"/>
      <c r="I48" s="83"/>
      <c r="J48" s="83"/>
      <c r="K48" s="83"/>
      <c r="L48" s="1119"/>
      <c r="M48" s="1119"/>
      <c r="N48" s="1119"/>
      <c r="O48" s="103"/>
      <c r="P48" s="81"/>
      <c r="Q48" s="81"/>
      <c r="R48" s="81"/>
    </row>
    <row r="49" spans="1:18">
      <c r="A49" s="80"/>
      <c r="B49" s="82"/>
      <c r="C49" s="83"/>
      <c r="D49" s="83"/>
      <c r="E49" s="83"/>
      <c r="F49" s="83"/>
      <c r="G49" s="83"/>
      <c r="H49" s="83"/>
      <c r="I49" s="83"/>
      <c r="J49" s="83"/>
      <c r="K49" s="83"/>
      <c r="L49" s="1119"/>
      <c r="M49" s="1119"/>
      <c r="N49" s="1119"/>
      <c r="O49" s="103"/>
      <c r="P49" s="81"/>
      <c r="Q49" s="81"/>
      <c r="R49" s="81"/>
    </row>
    <row r="50" spans="1:18">
      <c r="A50" s="80"/>
      <c r="B50" s="82"/>
      <c r="C50" s="83"/>
      <c r="D50" s="83"/>
      <c r="E50" s="83"/>
      <c r="F50" s="83"/>
      <c r="G50" s="83"/>
      <c r="H50" s="83"/>
      <c r="I50" s="83"/>
      <c r="J50" s="83"/>
      <c r="K50" s="83"/>
      <c r="L50" s="1119"/>
      <c r="M50" s="1119"/>
      <c r="N50" s="1119"/>
      <c r="O50" s="103"/>
      <c r="P50" s="81"/>
      <c r="Q50" s="81"/>
      <c r="R50" s="81"/>
    </row>
    <row r="51" spans="1:18">
      <c r="A51" s="80"/>
      <c r="B51" s="82"/>
      <c r="C51" s="83"/>
      <c r="D51" s="83"/>
      <c r="E51" s="83"/>
      <c r="F51" s="83"/>
      <c r="G51" s="83"/>
      <c r="H51" s="83"/>
      <c r="I51" s="83"/>
      <c r="J51" s="83"/>
      <c r="K51" s="83"/>
      <c r="L51" s="1119"/>
      <c r="M51" s="1119"/>
      <c r="N51" s="1119"/>
      <c r="O51" s="103"/>
      <c r="P51" s="81"/>
      <c r="Q51" s="81"/>
      <c r="R51" s="81"/>
    </row>
    <row r="52" spans="1:18">
      <c r="A52" s="80"/>
      <c r="B52" s="82"/>
      <c r="C52" s="83"/>
      <c r="D52" s="83"/>
      <c r="E52" s="83"/>
      <c r="F52" s="83"/>
      <c r="G52" s="83"/>
      <c r="H52" s="83"/>
      <c r="I52" s="83"/>
      <c r="J52" s="83"/>
      <c r="K52" s="83"/>
      <c r="L52" s="1119"/>
      <c r="M52" s="1119"/>
      <c r="N52" s="1119"/>
      <c r="O52" s="103"/>
      <c r="P52" s="81"/>
      <c r="Q52" s="81"/>
      <c r="R52" s="81"/>
    </row>
    <row r="53" spans="1:18">
      <c r="A53" s="80"/>
      <c r="B53" s="82"/>
      <c r="C53" s="83"/>
      <c r="D53" s="83"/>
      <c r="E53" s="83"/>
      <c r="F53" s="83"/>
      <c r="G53" s="83"/>
      <c r="H53" s="83"/>
      <c r="I53" s="83"/>
      <c r="J53" s="83"/>
      <c r="K53" s="83"/>
      <c r="L53" s="1119"/>
      <c r="M53" s="1119"/>
      <c r="N53" s="1119"/>
      <c r="O53" s="103"/>
      <c r="P53" s="81"/>
      <c r="Q53" s="81"/>
      <c r="R53" s="81"/>
    </row>
    <row r="54" spans="1:18" ht="15.75" customHeight="1">
      <c r="A54" s="80"/>
      <c r="B54" s="82"/>
      <c r="C54" s="83"/>
      <c r="D54" s="83"/>
      <c r="E54" s="83"/>
      <c r="F54" s="83"/>
      <c r="G54" s="83"/>
      <c r="H54" s="83"/>
      <c r="I54" s="83"/>
      <c r="J54" s="83"/>
      <c r="K54" s="83"/>
      <c r="L54" s="1119"/>
      <c r="M54" s="1119"/>
      <c r="N54" s="1119"/>
      <c r="O54" s="103"/>
      <c r="P54" s="81"/>
      <c r="Q54" s="81"/>
      <c r="R54" s="81"/>
    </row>
    <row r="55" spans="1:18">
      <c r="A55" s="80"/>
      <c r="B55" s="82"/>
      <c r="C55" s="83"/>
      <c r="D55" s="83"/>
      <c r="E55" s="83"/>
      <c r="F55" s="83"/>
      <c r="G55" s="83"/>
      <c r="H55" s="83"/>
      <c r="I55" s="83"/>
      <c r="J55" s="83"/>
      <c r="K55" s="83"/>
      <c r="L55" s="1119"/>
      <c r="M55" s="1119"/>
      <c r="N55" s="1119"/>
      <c r="O55" s="103"/>
    </row>
    <row r="56" spans="1:18" ht="21" customHeight="1" thickBot="1">
      <c r="A56" s="80"/>
      <c r="B56" s="88"/>
      <c r="C56" s="89"/>
      <c r="D56" s="89"/>
      <c r="E56" s="89"/>
      <c r="F56" s="89"/>
      <c r="G56" s="89"/>
      <c r="H56" s="89"/>
      <c r="I56" s="89"/>
      <c r="J56" s="89"/>
      <c r="K56" s="89"/>
      <c r="L56" s="1120"/>
      <c r="M56" s="1120"/>
      <c r="N56" s="1120"/>
      <c r="O56" s="222"/>
    </row>
    <row r="57" spans="1:18">
      <c r="A57" s="80"/>
      <c r="B57" s="78"/>
      <c r="C57" s="78"/>
      <c r="D57" s="78"/>
      <c r="E57" s="78"/>
      <c r="F57" s="78"/>
      <c r="G57" s="78"/>
      <c r="H57" s="78"/>
      <c r="I57" s="78"/>
      <c r="J57" s="78"/>
      <c r="K57" s="78"/>
      <c r="L57" s="78"/>
    </row>
    <row r="58" spans="1:18">
      <c r="A58" s="80"/>
      <c r="B58" s="1055"/>
      <c r="C58" s="1055"/>
      <c r="D58" s="1055"/>
      <c r="E58" s="1055"/>
      <c r="F58" s="1055"/>
      <c r="G58" s="1055"/>
      <c r="H58" s="1055"/>
      <c r="I58" s="1055"/>
      <c r="J58" s="1055"/>
      <c r="K58" s="1055"/>
      <c r="L58" s="1055"/>
      <c r="M58" s="1055"/>
      <c r="N58" s="1055"/>
      <c r="O58" s="1055"/>
    </row>
    <row r="59" spans="1:18">
      <c r="A59" s="80"/>
      <c r="B59" s="78"/>
      <c r="C59" s="78"/>
      <c r="D59" s="78"/>
      <c r="E59" s="78"/>
      <c r="F59" s="78"/>
      <c r="G59" s="78"/>
      <c r="H59" s="78"/>
      <c r="I59" s="78"/>
      <c r="J59" s="78"/>
      <c r="K59" s="78"/>
      <c r="L59" s="78"/>
    </row>
  </sheetData>
  <sheetProtection password="EB90" sheet="1" objects="1" scenarios="1" selectLockedCells="1" selectUnlockedCells="1"/>
  <mergeCells count="19">
    <mergeCell ref="B1:O1"/>
    <mergeCell ref="B2:O2"/>
    <mergeCell ref="B4:O5"/>
    <mergeCell ref="B10:O10"/>
    <mergeCell ref="B35:O35"/>
    <mergeCell ref="L12:L13"/>
    <mergeCell ref="M12:M13"/>
    <mergeCell ref="N12:N13"/>
    <mergeCell ref="L18:M19"/>
    <mergeCell ref="N18:N19"/>
    <mergeCell ref="L21:M22"/>
    <mergeCell ref="L24:M25"/>
    <mergeCell ref="N24:N25"/>
    <mergeCell ref="L16:N16"/>
    <mergeCell ref="L39:L40"/>
    <mergeCell ref="B58:O58"/>
    <mergeCell ref="M39:M40"/>
    <mergeCell ref="N39:N40"/>
    <mergeCell ref="L47:N56"/>
  </mergeCells>
  <printOptions horizontalCentered="1" verticalCentered="1"/>
  <pageMargins left="0.16" right="0.2" top="0.25" bottom="0.55000000000000004" header="0.16" footer="0.26"/>
  <pageSetup scale="80" orientation="portrait" horizontalDpi="300" verticalDpi="300" r:id="rId1"/>
  <headerFooter alignWithMargins="0">
    <oddFooter>&amp;L&amp;6&amp;D   &amp;T   &amp;Z&amp;F</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N157"/>
  <sheetViews>
    <sheetView zoomScaleNormal="100" workbookViewId="0">
      <pane ySplit="2" topLeftCell="A3" activePane="bottomLeft" state="frozen"/>
      <selection pane="bottomLeft" activeCell="B32" sqref="B32:I32"/>
    </sheetView>
  </sheetViews>
  <sheetFormatPr defaultRowHeight="12.75"/>
  <cols>
    <col min="1" max="1" width="12.28515625" style="111" customWidth="1"/>
    <col min="2" max="2" width="53.42578125" style="111" customWidth="1"/>
    <col min="3" max="8" width="14.42578125" style="111" customWidth="1"/>
    <col min="9" max="9" width="16" style="111" customWidth="1"/>
    <col min="10" max="29" width="14.42578125" style="111" customWidth="1"/>
    <col min="30" max="33" width="14.42578125" style="193" customWidth="1"/>
    <col min="34" max="34" width="9.140625" style="193"/>
    <col min="35" max="35" width="12.42578125" style="193" customWidth="1"/>
    <col min="36" max="66" width="9.140625" style="193"/>
    <col min="67" max="16384" width="9.140625" style="111"/>
  </cols>
  <sheetData>
    <row r="1" spans="2:66" s="230" customFormat="1" ht="36.75" customHeight="1">
      <c r="B1" s="1021" t="s">
        <v>377</v>
      </c>
      <c r="C1" s="1021"/>
      <c r="D1" s="1021"/>
      <c r="E1" s="1021"/>
      <c r="F1" s="1021"/>
      <c r="G1" s="1021"/>
      <c r="H1" s="1021"/>
      <c r="I1" s="1021"/>
      <c r="J1" s="381"/>
      <c r="K1" s="381"/>
      <c r="L1" s="381"/>
      <c r="M1" s="381"/>
      <c r="N1" s="381"/>
      <c r="O1" s="381"/>
      <c r="P1" s="381"/>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row>
    <row r="2" spans="2:66" s="312" customFormat="1" ht="36.75" customHeight="1">
      <c r="B2" s="1087" t="s">
        <v>498</v>
      </c>
      <c r="C2" s="1087"/>
      <c r="D2" s="1087"/>
      <c r="E2" s="1087"/>
      <c r="F2" s="1087"/>
      <c r="G2" s="1087"/>
      <c r="H2" s="1087"/>
      <c r="I2" s="1087"/>
      <c r="J2" s="426"/>
      <c r="K2" s="426"/>
      <c r="L2" s="426"/>
      <c r="M2" s="426"/>
      <c r="N2" s="426"/>
      <c r="O2" s="426"/>
      <c r="P2" s="426"/>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311"/>
      <c r="AW2" s="311"/>
      <c r="AX2" s="311"/>
      <c r="AY2" s="311"/>
      <c r="AZ2" s="311"/>
      <c r="BA2" s="311"/>
      <c r="BB2" s="311"/>
      <c r="BC2" s="311"/>
      <c r="BD2" s="311"/>
      <c r="BE2" s="311"/>
      <c r="BF2" s="311"/>
      <c r="BG2" s="311"/>
      <c r="BH2" s="311"/>
      <c r="BI2" s="311"/>
      <c r="BJ2" s="311"/>
      <c r="BK2" s="311"/>
      <c r="BL2" s="311"/>
      <c r="BM2" s="311"/>
      <c r="BN2" s="311"/>
    </row>
    <row r="3" spans="2:66" s="312" customFormat="1" ht="13.5" thickBot="1">
      <c r="B3" s="541"/>
      <c r="C3" s="541"/>
      <c r="D3" s="541"/>
      <c r="E3" s="541"/>
      <c r="F3" s="541"/>
      <c r="G3" s="541"/>
      <c r="H3" s="541"/>
      <c r="I3" s="541"/>
      <c r="J3" s="556"/>
      <c r="K3" s="556"/>
      <c r="L3" s="556"/>
      <c r="M3" s="556"/>
      <c r="N3" s="556"/>
      <c r="O3" s="556"/>
      <c r="P3" s="542"/>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c r="BJ3" s="311"/>
      <c r="BK3" s="311"/>
      <c r="BL3" s="311"/>
      <c r="BM3" s="311"/>
      <c r="BN3" s="311"/>
    </row>
    <row r="4" spans="2:66" ht="48.75" customHeight="1" thickBot="1">
      <c r="B4" s="1150" t="s">
        <v>499</v>
      </c>
      <c r="C4" s="1151"/>
      <c r="D4" s="1151"/>
      <c r="E4" s="1151"/>
      <c r="F4" s="1151"/>
      <c r="G4" s="1151"/>
      <c r="H4" s="1151"/>
      <c r="I4" s="1152"/>
      <c r="J4" s="586"/>
      <c r="K4" s="193"/>
      <c r="L4" s="193"/>
      <c r="M4" s="193"/>
      <c r="N4" s="193"/>
      <c r="O4" s="193"/>
    </row>
    <row r="5" spans="2:66" ht="14.25">
      <c r="B5" s="428" t="str">
        <f>IF('Input COMPARATIVE Rates'!$C$6=Callouts!$N$2,"Note: Based on user selection in the 'Input COMPARATIVE Rates' tab, COMPARATIVE rates are IDENTICAL to the REFERENCE rates.","")</f>
        <v/>
      </c>
      <c r="J5" s="193"/>
      <c r="K5" s="193"/>
      <c r="L5" s="193"/>
      <c r="M5" s="193"/>
      <c r="N5" s="193"/>
      <c r="O5" s="193"/>
    </row>
    <row r="6" spans="2:66" hidden="1">
      <c r="J6" s="193"/>
      <c r="K6" s="193"/>
      <c r="L6" s="193"/>
      <c r="M6" s="193"/>
      <c r="N6" s="193"/>
      <c r="O6" s="193"/>
    </row>
    <row r="7" spans="2:66" hidden="1">
      <c r="J7" s="193"/>
      <c r="K7" s="193"/>
      <c r="L7" s="193"/>
      <c r="M7" s="193"/>
      <c r="N7" s="193"/>
      <c r="O7" s="193"/>
      <c r="AE7" s="940"/>
      <c r="AF7" s="940"/>
    </row>
    <row r="8" spans="2:66" hidden="1">
      <c r="C8" s="111">
        <v>0</v>
      </c>
      <c r="D8" s="111">
        <v>1000</v>
      </c>
      <c r="E8" s="111">
        <v>2000</v>
      </c>
      <c r="F8" s="111">
        <v>3000</v>
      </c>
      <c r="G8" s="111">
        <v>4000</v>
      </c>
      <c r="H8" s="111">
        <v>5000</v>
      </c>
      <c r="I8" s="111">
        <v>6000</v>
      </c>
      <c r="J8" s="193">
        <v>7000</v>
      </c>
      <c r="K8" s="193">
        <v>8000</v>
      </c>
      <c r="L8" s="193">
        <v>9000</v>
      </c>
      <c r="M8" s="193">
        <v>10000</v>
      </c>
      <c r="N8" s="193">
        <v>11000</v>
      </c>
      <c r="O8" s="193">
        <v>12000</v>
      </c>
      <c r="P8" s="111">
        <v>13000</v>
      </c>
      <c r="Q8" s="111">
        <v>14000</v>
      </c>
      <c r="R8" s="111">
        <v>15000</v>
      </c>
      <c r="S8" s="111">
        <v>16000</v>
      </c>
      <c r="T8" s="111">
        <v>17000</v>
      </c>
      <c r="U8" s="111">
        <v>18000</v>
      </c>
      <c r="V8" s="111">
        <v>19000</v>
      </c>
      <c r="W8" s="111">
        <v>20000</v>
      </c>
      <c r="X8" s="111">
        <v>21000</v>
      </c>
      <c r="Y8" s="111">
        <v>22000</v>
      </c>
      <c r="Z8" s="111">
        <v>23000</v>
      </c>
      <c r="AA8" s="111">
        <v>24000</v>
      </c>
      <c r="AB8" s="111">
        <v>25000</v>
      </c>
      <c r="AE8" s="940"/>
      <c r="AF8" s="940"/>
    </row>
    <row r="9" spans="2:66" hidden="1">
      <c r="B9" s="112" t="s">
        <v>319</v>
      </c>
      <c r="J9" s="193"/>
      <c r="K9" s="193"/>
      <c r="L9" s="193"/>
      <c r="M9" s="193"/>
      <c r="N9" s="193"/>
      <c r="O9" s="193"/>
      <c r="AE9" s="940"/>
      <c r="AF9" s="940"/>
    </row>
    <row r="10" spans="2:66" hidden="1">
      <c r="J10" s="193"/>
      <c r="K10" s="193"/>
      <c r="L10" s="193"/>
      <c r="M10" s="193"/>
      <c r="N10" s="193"/>
      <c r="O10" s="193"/>
      <c r="AE10" s="940" t="s">
        <v>188</v>
      </c>
      <c r="AF10" s="940"/>
    </row>
    <row r="11" spans="2:66" hidden="1">
      <c r="C11" s="113">
        <f>'Revenues from COMPARATIVE Rates'!C96</f>
        <v>0</v>
      </c>
      <c r="D11" s="113" t="str">
        <f>'Revenues from COMPARATIVE Rates'!D96</f>
        <v>1 - 1000</v>
      </c>
      <c r="E11" s="113" t="str">
        <f>'Revenues from COMPARATIVE Rates'!E96</f>
        <v>1001 - 2000</v>
      </c>
      <c r="F11" s="113" t="str">
        <f>'Revenues from COMPARATIVE Rates'!F96</f>
        <v>2001 - 3000</v>
      </c>
      <c r="G11" s="113" t="str">
        <f>'Revenues from COMPARATIVE Rates'!G96</f>
        <v>3001 - 4000</v>
      </c>
      <c r="H11" s="113" t="str">
        <f>'Revenues from COMPARATIVE Rates'!H96</f>
        <v>4001 - 5000</v>
      </c>
      <c r="I11" s="113" t="str">
        <f>'Revenues from COMPARATIVE Rates'!I96</f>
        <v>5001 - 6000</v>
      </c>
      <c r="J11" s="587" t="str">
        <f>'Revenues from COMPARATIVE Rates'!J96</f>
        <v>6001 - 7000</v>
      </c>
      <c r="K11" s="587" t="str">
        <f>'Revenues from COMPARATIVE Rates'!K96</f>
        <v>7001 - 8000</v>
      </c>
      <c r="L11" s="587" t="str">
        <f>'Revenues from COMPARATIVE Rates'!L96</f>
        <v>8001 - 9000</v>
      </c>
      <c r="M11" s="587" t="str">
        <f>'Revenues from COMPARATIVE Rates'!M96</f>
        <v>9001 - 10000</v>
      </c>
      <c r="N11" s="587" t="str">
        <f>'Revenues from COMPARATIVE Rates'!N96</f>
        <v>10001 - 11000</v>
      </c>
      <c r="O11" s="587" t="str">
        <f>'Revenues from COMPARATIVE Rates'!O96</f>
        <v>11001 - 12000</v>
      </c>
      <c r="P11" s="113" t="str">
        <f>'Revenues from COMPARATIVE Rates'!P96</f>
        <v>12001 - 13000</v>
      </c>
      <c r="Q11" s="113" t="str">
        <f>'Revenues from COMPARATIVE Rates'!Q96</f>
        <v>13001 - 14000</v>
      </c>
      <c r="R11" s="113" t="str">
        <f>'Revenues from COMPARATIVE Rates'!R96</f>
        <v>14001 - 15000</v>
      </c>
      <c r="S11" s="113" t="str">
        <f>'Revenues from COMPARATIVE Rates'!S96</f>
        <v>15001 - 16000</v>
      </c>
      <c r="T11" s="113" t="str">
        <f>'Revenues from COMPARATIVE Rates'!T96</f>
        <v>16001 - 17000</v>
      </c>
      <c r="U11" s="113" t="str">
        <f>'Revenues from COMPARATIVE Rates'!U96</f>
        <v>17001 - 18000</v>
      </c>
      <c r="V11" s="113" t="str">
        <f>'Revenues from COMPARATIVE Rates'!V96</f>
        <v>18001 - 19000</v>
      </c>
      <c r="W11" s="113" t="str">
        <f>'Revenues from COMPARATIVE Rates'!W96</f>
        <v>19001 - 20000</v>
      </c>
      <c r="X11" s="113" t="str">
        <f>'Revenues from COMPARATIVE Rates'!X96</f>
        <v>20001 - 21000</v>
      </c>
      <c r="Y11" s="113" t="str">
        <f>'Revenues from COMPARATIVE Rates'!Y96</f>
        <v>21001 - 22000</v>
      </c>
      <c r="Z11" s="113" t="str">
        <f>'Revenues from COMPARATIVE Rates'!Z96</f>
        <v>22001 - 23000</v>
      </c>
      <c r="AA11" s="113" t="str">
        <f>'Revenues from COMPARATIVE Rates'!AA96</f>
        <v>23001 - 24000</v>
      </c>
      <c r="AB11" s="113" t="str">
        <f>'Revenues from COMPARATIVE Rates'!AB96</f>
        <v>24001 - 25000</v>
      </c>
      <c r="AC11" s="113" t="str">
        <f>'Revenues from COMPARATIVE Rates'!AC96</f>
        <v>&gt;25,000</v>
      </c>
      <c r="AE11" s="940"/>
      <c r="AF11" s="940"/>
    </row>
    <row r="12" spans="2:66" hidden="1">
      <c r="B12" s="111" t="s">
        <v>321</v>
      </c>
      <c r="C12" s="113"/>
      <c r="D12" s="113"/>
      <c r="E12" s="113"/>
      <c r="F12" s="113"/>
      <c r="G12" s="113"/>
      <c r="H12" s="113"/>
      <c r="I12" s="113"/>
      <c r="J12" s="587"/>
      <c r="K12" s="587"/>
      <c r="L12" s="587"/>
      <c r="M12" s="587"/>
      <c r="N12" s="587"/>
      <c r="O12" s="587"/>
      <c r="P12" s="113"/>
      <c r="Q12" s="113"/>
      <c r="R12" s="113"/>
      <c r="S12" s="113"/>
      <c r="T12" s="113"/>
      <c r="U12" s="113"/>
      <c r="V12" s="113"/>
      <c r="W12" s="113"/>
      <c r="X12" s="113"/>
      <c r="Y12" s="113"/>
      <c r="Z12" s="113"/>
      <c r="AA12" s="113"/>
      <c r="AB12" s="113"/>
      <c r="AC12" s="113"/>
      <c r="AE12" s="940"/>
      <c r="AF12" s="940"/>
    </row>
    <row r="13" spans="2:66" hidden="1">
      <c r="B13" s="111" t="s">
        <v>230</v>
      </c>
      <c r="C13" s="114">
        <f>'Revenues from REFERENCE Rates'!C13</f>
        <v>67031</v>
      </c>
      <c r="D13" s="114">
        <f>'Revenues from REFERENCE Rates'!D13</f>
        <v>83054</v>
      </c>
      <c r="E13" s="114">
        <f>'Revenues from REFERENCE Rates'!E13</f>
        <v>118438</v>
      </c>
      <c r="F13" s="114">
        <f>'Revenues from REFERENCE Rates'!F13</f>
        <v>120115</v>
      </c>
      <c r="G13" s="114">
        <f>'Revenues from REFERENCE Rates'!G13</f>
        <v>113142</v>
      </c>
      <c r="H13" s="114">
        <f>'Revenues from REFERENCE Rates'!H13</f>
        <v>86693</v>
      </c>
      <c r="I13" s="114">
        <f>'Revenues from REFERENCE Rates'!I13</f>
        <v>68013</v>
      </c>
      <c r="J13" s="588">
        <f>'Revenues from REFERENCE Rates'!J13</f>
        <v>45087</v>
      </c>
      <c r="K13" s="588">
        <f>'Revenues from REFERENCE Rates'!K13</f>
        <v>35919</v>
      </c>
      <c r="L13" s="588">
        <f>'Revenues from REFERENCE Rates'!L13</f>
        <v>22345</v>
      </c>
      <c r="M13" s="588">
        <f>'Revenues from REFERENCE Rates'!M13</f>
        <v>19870</v>
      </c>
      <c r="N13" s="588">
        <f>'Revenues from REFERENCE Rates'!N13</f>
        <v>11813</v>
      </c>
      <c r="O13" s="588">
        <f>'Revenues from REFERENCE Rates'!O13</f>
        <v>11811</v>
      </c>
      <c r="P13" s="114">
        <f>'Revenues from REFERENCE Rates'!P13</f>
        <v>7075</v>
      </c>
      <c r="Q13" s="114">
        <f>'Revenues from REFERENCE Rates'!Q13</f>
        <v>7533</v>
      </c>
      <c r="R13" s="114">
        <f>'Revenues from REFERENCE Rates'!R13</f>
        <v>4641</v>
      </c>
      <c r="S13" s="114">
        <f>'Revenues from REFERENCE Rates'!S13</f>
        <v>5223</v>
      </c>
      <c r="T13" s="114">
        <f>'Revenues from REFERENCE Rates'!T13</f>
        <v>3328</v>
      </c>
      <c r="U13" s="114">
        <f>'Revenues from REFERENCE Rates'!U13</f>
        <v>3865</v>
      </c>
      <c r="V13" s="114">
        <f>'Revenues from REFERENCE Rates'!V13</f>
        <v>2460</v>
      </c>
      <c r="W13" s="114">
        <f>'Revenues from REFERENCE Rates'!W13</f>
        <v>2956</v>
      </c>
      <c r="X13" s="114">
        <f>'Revenues from REFERENCE Rates'!X13</f>
        <v>2754</v>
      </c>
      <c r="Y13" s="114">
        <f>'Revenues from REFERENCE Rates'!Y13</f>
        <v>2653</v>
      </c>
      <c r="Z13" s="114">
        <f>'Revenues from REFERENCE Rates'!Z13</f>
        <v>2521</v>
      </c>
      <c r="AA13" s="114">
        <f>'Revenues from REFERENCE Rates'!AA13</f>
        <v>2321</v>
      </c>
      <c r="AB13" s="114">
        <f>'Revenues from REFERENCE Rates'!AB13</f>
        <v>1987</v>
      </c>
      <c r="AC13" s="114">
        <f>'Revenues from REFERENCE Rates'!AC13</f>
        <v>11754</v>
      </c>
      <c r="AE13" s="941">
        <f>'Revenues from REFERENCE Rates'!E21</f>
        <v>27500</v>
      </c>
      <c r="AF13" s="940"/>
    </row>
    <row r="14" spans="2:66" hidden="1">
      <c r="B14" s="111" t="s">
        <v>175</v>
      </c>
      <c r="C14" s="115">
        <f>'Revenues from REFERENCE Rates'!C14</f>
        <v>7.7546095450959154E-2</v>
      </c>
      <c r="D14" s="115">
        <f>'Revenues from REFERENCE Rates'!D14</f>
        <v>9.6082609711685071E-2</v>
      </c>
      <c r="E14" s="115">
        <f>'Revenues from REFERENCE Rates'!E14</f>
        <v>0.13701726742881207</v>
      </c>
      <c r="F14" s="115">
        <f>'Revenues from REFERENCE Rates'!F14</f>
        <v>0.13895733697978488</v>
      </c>
      <c r="G14" s="115">
        <f>'Revenues from REFERENCE Rates'!G14</f>
        <v>0.1308904884532891</v>
      </c>
      <c r="H14" s="115">
        <f>'Revenues from REFERENCE Rates'!H14</f>
        <v>0.1002924565190733</v>
      </c>
      <c r="I14" s="115">
        <f>'Revenues from REFERENCE Rates'!I14</f>
        <v>7.8682140948308776E-2</v>
      </c>
      <c r="J14" s="589">
        <f>'Revenues from REFERENCE Rates'!J14</f>
        <v>5.2159759001020357E-2</v>
      </c>
      <c r="K14" s="589">
        <f>'Revenues from REFERENCE Rates'!K14</f>
        <v>4.1553582708045565E-2</v>
      </c>
      <c r="L14" s="589">
        <f>'Revenues from REFERENCE Rates'!L14</f>
        <v>2.5850240975842258E-2</v>
      </c>
      <c r="M14" s="589">
        <f>'Revenues from REFERENCE Rates'!M14</f>
        <v>2.298698984963015E-2</v>
      </c>
      <c r="N14" s="589">
        <f>'Revenues from REFERENCE Rates'!N14</f>
        <v>1.3666095173310567E-2</v>
      </c>
      <c r="O14" s="589">
        <f>'Revenues from REFERENCE Rates'!O14</f>
        <v>1.3663781435026758E-2</v>
      </c>
      <c r="P14" s="115">
        <f>'Revenues from REFERENCE Rates'!P14</f>
        <v>8.18484917896997E-3</v>
      </c>
      <c r="Q14" s="115">
        <f>'Revenues from REFERENCE Rates'!Q14</f>
        <v>8.7146952459619485E-3</v>
      </c>
      <c r="R14" s="115">
        <f>'Revenues from REFERENCE Rates'!R14</f>
        <v>5.3690296875759198E-3</v>
      </c>
      <c r="S14" s="115">
        <f>'Revenues from REFERENCE Rates'!S14</f>
        <v>6.0423275281639797E-3</v>
      </c>
      <c r="T14" s="115">
        <f>'Revenues from REFERENCE Rates'!T14</f>
        <v>3.8500605042561214E-3</v>
      </c>
      <c r="U14" s="115">
        <f>'Revenues from REFERENCE Rates'!U14</f>
        <v>4.4712992334585066E-3</v>
      </c>
      <c r="V14" s="115">
        <f>'Revenues from REFERENCE Rates'!V14</f>
        <v>2.8458980890835512E-3</v>
      </c>
      <c r="W14" s="115">
        <f>'Revenues from REFERENCE Rates'!W14</f>
        <v>3.4197051834678771E-3</v>
      </c>
      <c r="X14" s="115">
        <f>'Revenues from REFERENCE Rates'!X14</f>
        <v>3.1860176168032931E-3</v>
      </c>
      <c r="Y14" s="115">
        <f>'Revenues from REFERENCE Rates'!Y14</f>
        <v>3.0691738334710007E-3</v>
      </c>
      <c r="Z14" s="115">
        <f>'Revenues from REFERENCE Rates'!Z14</f>
        <v>2.9164671067396881E-3</v>
      </c>
      <c r="AA14" s="115">
        <f>'Revenues from REFERENCE Rates'!AA14</f>
        <v>2.6850932783589118E-3</v>
      </c>
      <c r="AB14" s="115">
        <f>'Revenues from REFERENCE Rates'!AB14</f>
        <v>2.2986989849630149E-3</v>
      </c>
      <c r="AC14" s="115">
        <f>'Revenues from REFERENCE Rates'!AC14</f>
        <v>1.3597839893938236E-2</v>
      </c>
      <c r="AE14" s="940"/>
      <c r="AF14" s="940"/>
    </row>
    <row r="15" spans="2:66" hidden="1">
      <c r="B15" s="111" t="s">
        <v>40</v>
      </c>
      <c r="C15" s="116">
        <f>'Revenues from REFERENCE Rates'!C36</f>
        <v>335155</v>
      </c>
      <c r="D15" s="116">
        <f>'Revenues from REFERENCE Rates'!D36</f>
        <v>622905</v>
      </c>
      <c r="E15" s="116">
        <f>'Revenues from REFERENCE Rates'!E36</f>
        <v>1184380</v>
      </c>
      <c r="F15" s="116">
        <f>'Revenues from REFERENCE Rates'!F36</f>
        <v>1501437.5</v>
      </c>
      <c r="G15" s="116">
        <f>'Revenues from REFERENCE Rates'!G36</f>
        <v>1697130</v>
      </c>
      <c r="H15" s="116">
        <f>'Revenues from REFERENCE Rates'!H36</f>
        <v>1517127.5</v>
      </c>
      <c r="I15" s="116">
        <f>'Revenues from REFERENCE Rates'!I36</f>
        <v>1360260</v>
      </c>
      <c r="J15" s="590">
        <f>'Revenues from REFERENCE Rates'!J36</f>
        <v>1014457.5</v>
      </c>
      <c r="K15" s="590">
        <f>'Revenues from REFERENCE Rates'!K36</f>
        <v>897975</v>
      </c>
      <c r="L15" s="590">
        <f>'Revenues from REFERENCE Rates'!L36</f>
        <v>614487.5</v>
      </c>
      <c r="M15" s="590">
        <f>'Revenues from REFERENCE Rates'!M36</f>
        <v>596100</v>
      </c>
      <c r="N15" s="590">
        <f>'Revenues from REFERENCE Rates'!N36</f>
        <v>383922.5</v>
      </c>
      <c r="O15" s="590">
        <f>'Revenues from REFERENCE Rates'!O36</f>
        <v>413385</v>
      </c>
      <c r="P15" s="116">
        <f>'Revenues from REFERENCE Rates'!P36</f>
        <v>265312.5</v>
      </c>
      <c r="Q15" s="116">
        <f>'Revenues from REFERENCE Rates'!Q36</f>
        <v>301320</v>
      </c>
      <c r="R15" s="116">
        <f>'Revenues from REFERENCE Rates'!R36</f>
        <v>197242.5</v>
      </c>
      <c r="S15" s="116">
        <f>'Revenues from REFERENCE Rates'!S36</f>
        <v>235035</v>
      </c>
      <c r="T15" s="116">
        <f>'Revenues from REFERENCE Rates'!T36</f>
        <v>158080</v>
      </c>
      <c r="U15" s="116">
        <f>'Revenues from REFERENCE Rates'!U36</f>
        <v>193250</v>
      </c>
      <c r="V15" s="116">
        <f>'Revenues from REFERENCE Rates'!V36</f>
        <v>129150</v>
      </c>
      <c r="W15" s="116">
        <f>'Revenues from REFERENCE Rates'!W36</f>
        <v>162580</v>
      </c>
      <c r="X15" s="116">
        <f>'Revenues from REFERENCE Rates'!X36</f>
        <v>158355</v>
      </c>
      <c r="Y15" s="116">
        <f>'Revenues from REFERENCE Rates'!Y36</f>
        <v>159180</v>
      </c>
      <c r="Z15" s="116">
        <f>'Revenues from REFERENCE Rates'!Z36</f>
        <v>157562.5</v>
      </c>
      <c r="AA15" s="116">
        <f>'Revenues from REFERENCE Rates'!AA36</f>
        <v>150865</v>
      </c>
      <c r="AB15" s="116">
        <f>'Revenues from REFERENCE Rates'!AB36</f>
        <v>134122.5</v>
      </c>
      <c r="AC15" s="116">
        <f>'Revenues from REFERENCE Rates'!AC36</f>
        <v>866857.5</v>
      </c>
      <c r="AE15" s="940"/>
      <c r="AF15" s="940"/>
    </row>
    <row r="16" spans="2:66" hidden="1">
      <c r="B16" s="117" t="s">
        <v>41</v>
      </c>
      <c r="C16" s="116">
        <f>'Revenues from REFERENCE Rates'!C37</f>
        <v>335155</v>
      </c>
      <c r="D16" s="116">
        <f>'Revenues from REFERENCE Rates'!D37</f>
        <v>415270</v>
      </c>
      <c r="E16" s="116">
        <f>'Revenues from REFERENCE Rates'!E37</f>
        <v>592190</v>
      </c>
      <c r="F16" s="116">
        <f>'Revenues from REFERENCE Rates'!F37</f>
        <v>600575</v>
      </c>
      <c r="G16" s="116">
        <f>'Revenues from REFERENCE Rates'!G37</f>
        <v>565710</v>
      </c>
      <c r="H16" s="116">
        <f>'Revenues from REFERENCE Rates'!H37</f>
        <v>433465</v>
      </c>
      <c r="I16" s="116">
        <f>'Revenues from REFERENCE Rates'!I37</f>
        <v>340065</v>
      </c>
      <c r="J16" s="590">
        <f>'Revenues from REFERENCE Rates'!J37</f>
        <v>225435</v>
      </c>
      <c r="K16" s="590">
        <f>'Revenues from REFERENCE Rates'!K37</f>
        <v>179595</v>
      </c>
      <c r="L16" s="590">
        <f>'Revenues from REFERENCE Rates'!L37</f>
        <v>111725</v>
      </c>
      <c r="M16" s="590">
        <f>'Revenues from REFERENCE Rates'!M37</f>
        <v>99350</v>
      </c>
      <c r="N16" s="590">
        <f>'Revenues from REFERENCE Rates'!N37</f>
        <v>59065</v>
      </c>
      <c r="O16" s="590">
        <f>'Revenues from REFERENCE Rates'!O37</f>
        <v>59055</v>
      </c>
      <c r="P16" s="116">
        <f>'Revenues from REFERENCE Rates'!P37</f>
        <v>35375</v>
      </c>
      <c r="Q16" s="116">
        <f>'Revenues from REFERENCE Rates'!Q37</f>
        <v>37665</v>
      </c>
      <c r="R16" s="116">
        <f>'Revenues from REFERENCE Rates'!R37</f>
        <v>23205</v>
      </c>
      <c r="S16" s="116">
        <f>'Revenues from REFERENCE Rates'!S37</f>
        <v>26115</v>
      </c>
      <c r="T16" s="116">
        <f>'Revenues from REFERENCE Rates'!T37</f>
        <v>16640</v>
      </c>
      <c r="U16" s="116">
        <f>'Revenues from REFERENCE Rates'!U37</f>
        <v>19325</v>
      </c>
      <c r="V16" s="116">
        <f>'Revenues from REFERENCE Rates'!V37</f>
        <v>12300</v>
      </c>
      <c r="W16" s="116">
        <f>'Revenues from REFERENCE Rates'!W37</f>
        <v>14780</v>
      </c>
      <c r="X16" s="116">
        <f>'Revenues from REFERENCE Rates'!X37</f>
        <v>13770</v>
      </c>
      <c r="Y16" s="116">
        <f>'Revenues from REFERENCE Rates'!Y37</f>
        <v>13265</v>
      </c>
      <c r="Z16" s="116">
        <f>'Revenues from REFERENCE Rates'!Z37</f>
        <v>12605</v>
      </c>
      <c r="AA16" s="116">
        <f>'Revenues from REFERENCE Rates'!AA37</f>
        <v>11605</v>
      </c>
      <c r="AB16" s="116">
        <f>'Revenues from REFERENCE Rates'!AB37</f>
        <v>9935</v>
      </c>
      <c r="AC16" s="116">
        <f>'Revenues from REFERENCE Rates'!AC37</f>
        <v>58770</v>
      </c>
      <c r="AE16" s="940"/>
      <c r="AF16" s="940"/>
    </row>
    <row r="17" spans="2:66" hidden="1">
      <c r="B17" s="118" t="s">
        <v>43</v>
      </c>
      <c r="C17" s="116">
        <f>'Revenues from REFERENCE Rates'!C38</f>
        <v>0</v>
      </c>
      <c r="D17" s="116">
        <f>'Revenues from REFERENCE Rates'!D38</f>
        <v>207635</v>
      </c>
      <c r="E17" s="116">
        <f>'Revenues from REFERENCE Rates'!E38</f>
        <v>592190</v>
      </c>
      <c r="F17" s="116">
        <f>'Revenues from REFERENCE Rates'!F38</f>
        <v>900862.5</v>
      </c>
      <c r="G17" s="116">
        <f>'Revenues from REFERENCE Rates'!G38</f>
        <v>1131420</v>
      </c>
      <c r="H17" s="116">
        <f>'Revenues from REFERENCE Rates'!H38</f>
        <v>1083662.5</v>
      </c>
      <c r="I17" s="116">
        <f>'Revenues from REFERENCE Rates'!I38</f>
        <v>1020195</v>
      </c>
      <c r="J17" s="590">
        <f>'Revenues from REFERENCE Rates'!J38</f>
        <v>789022.5</v>
      </c>
      <c r="K17" s="590">
        <f>'Revenues from REFERENCE Rates'!K38</f>
        <v>718380</v>
      </c>
      <c r="L17" s="590">
        <f>'Revenues from REFERENCE Rates'!L38</f>
        <v>502762.5</v>
      </c>
      <c r="M17" s="590">
        <f>'Revenues from REFERENCE Rates'!M38</f>
        <v>496750</v>
      </c>
      <c r="N17" s="590">
        <f>'Revenues from REFERENCE Rates'!N38</f>
        <v>324857.5</v>
      </c>
      <c r="O17" s="590">
        <f>'Revenues from REFERENCE Rates'!O38</f>
        <v>354330</v>
      </c>
      <c r="P17" s="116">
        <f>'Revenues from REFERENCE Rates'!P38</f>
        <v>229937.5</v>
      </c>
      <c r="Q17" s="116">
        <f>'Revenues from REFERENCE Rates'!Q38</f>
        <v>263655</v>
      </c>
      <c r="R17" s="116">
        <f>'Revenues from REFERENCE Rates'!R38</f>
        <v>174037.5</v>
      </c>
      <c r="S17" s="116">
        <f>'Revenues from REFERENCE Rates'!S38</f>
        <v>208920</v>
      </c>
      <c r="T17" s="116">
        <f>'Revenues from REFERENCE Rates'!T38</f>
        <v>141440</v>
      </c>
      <c r="U17" s="116">
        <f>'Revenues from REFERENCE Rates'!U38</f>
        <v>173925</v>
      </c>
      <c r="V17" s="116">
        <f>'Revenues from REFERENCE Rates'!V38</f>
        <v>116850</v>
      </c>
      <c r="W17" s="116">
        <f>'Revenues from REFERENCE Rates'!W38</f>
        <v>147800</v>
      </c>
      <c r="X17" s="116">
        <f>'Revenues from REFERENCE Rates'!X38</f>
        <v>144585</v>
      </c>
      <c r="Y17" s="116">
        <f>'Revenues from REFERENCE Rates'!Y38</f>
        <v>145915</v>
      </c>
      <c r="Z17" s="116">
        <f>'Revenues from REFERENCE Rates'!Z38</f>
        <v>144957.5</v>
      </c>
      <c r="AA17" s="116">
        <f>'Revenues from REFERENCE Rates'!AA38</f>
        <v>139260</v>
      </c>
      <c r="AB17" s="116">
        <f>'Revenues from REFERENCE Rates'!AB38</f>
        <v>124187.5</v>
      </c>
      <c r="AC17" s="116">
        <f>'Revenues from REFERENCE Rates'!AC38</f>
        <v>808087.5</v>
      </c>
      <c r="AE17" s="940"/>
      <c r="AF17" s="940"/>
    </row>
    <row r="18" spans="2:66" hidden="1">
      <c r="B18" s="111" t="s">
        <v>176</v>
      </c>
      <c r="C18" s="111">
        <f>'Revenues from REFERENCE Rates'!F31</f>
        <v>5130</v>
      </c>
      <c r="D18" s="111" t="s">
        <v>177</v>
      </c>
      <c r="E18" s="119"/>
      <c r="F18" s="119"/>
      <c r="G18" s="119"/>
      <c r="H18" s="119"/>
      <c r="I18" s="119"/>
      <c r="J18" s="591"/>
      <c r="K18" s="591"/>
      <c r="L18" s="591"/>
      <c r="M18" s="591"/>
      <c r="N18" s="591"/>
      <c r="O18" s="591"/>
      <c r="P18" s="119"/>
      <c r="Q18" s="119"/>
      <c r="R18" s="119"/>
      <c r="S18" s="119"/>
      <c r="T18" s="119"/>
      <c r="U18" s="119"/>
      <c r="V18" s="119"/>
      <c r="W18" s="119"/>
      <c r="X18" s="119"/>
      <c r="Y18" s="119"/>
      <c r="Z18" s="119"/>
      <c r="AA18" s="119"/>
      <c r="AB18" s="119"/>
      <c r="AC18" s="119"/>
      <c r="AE18" s="940"/>
      <c r="AF18" s="940"/>
    </row>
    <row r="19" spans="2:66" hidden="1">
      <c r="C19" s="119"/>
      <c r="D19" s="119"/>
      <c r="E19" s="119"/>
      <c r="F19" s="119"/>
      <c r="G19" s="119"/>
      <c r="H19" s="119"/>
      <c r="I19" s="119"/>
      <c r="J19" s="591"/>
      <c r="K19" s="591"/>
      <c r="L19" s="591"/>
      <c r="M19" s="591"/>
      <c r="N19" s="591"/>
      <c r="O19" s="591"/>
      <c r="P19" s="119"/>
      <c r="Q19" s="119"/>
      <c r="R19" s="119"/>
      <c r="S19" s="119"/>
      <c r="T19" s="119"/>
      <c r="U19" s="119"/>
      <c r="V19" s="119"/>
      <c r="W19" s="119"/>
      <c r="X19" s="119"/>
      <c r="Y19" s="119"/>
      <c r="Z19" s="119"/>
      <c r="AA19" s="119"/>
      <c r="AB19" s="119"/>
      <c r="AC19" s="119"/>
      <c r="AE19" s="940"/>
      <c r="AF19" s="940"/>
    </row>
    <row r="20" spans="2:66" hidden="1">
      <c r="B20" s="111" t="s">
        <v>320</v>
      </c>
      <c r="C20" s="119"/>
      <c r="D20" s="119"/>
      <c r="E20" s="119"/>
      <c r="F20" s="119"/>
      <c r="G20" s="119"/>
      <c r="H20" s="119"/>
      <c r="I20" s="119"/>
      <c r="J20" s="591"/>
      <c r="K20" s="591"/>
      <c r="L20" s="591"/>
      <c r="M20" s="591"/>
      <c r="N20" s="591"/>
      <c r="O20" s="591"/>
      <c r="P20" s="119"/>
      <c r="Q20" s="119"/>
      <c r="R20" s="119"/>
      <c r="S20" s="119"/>
      <c r="T20" s="119"/>
      <c r="U20" s="119"/>
      <c r="V20" s="119"/>
      <c r="W20" s="119"/>
      <c r="X20" s="119"/>
      <c r="Y20" s="119"/>
      <c r="Z20" s="119"/>
      <c r="AA20" s="119"/>
      <c r="AB20" s="119"/>
      <c r="AC20" s="119"/>
      <c r="AE20" s="940"/>
      <c r="AF20" s="940"/>
    </row>
    <row r="21" spans="2:66" hidden="1">
      <c r="B21" s="111" t="s">
        <v>230</v>
      </c>
      <c r="C21" s="120">
        <f>'Revenues from COMPARATIVE Rates'!C106</f>
        <v>67031</v>
      </c>
      <c r="D21" s="120">
        <f>'Revenues from COMPARATIVE Rates'!D106</f>
        <v>83886</v>
      </c>
      <c r="E21" s="120">
        <f>'Revenues from COMPARATIVE Rates'!E106</f>
        <v>118817</v>
      </c>
      <c r="F21" s="120">
        <f>'Revenues from COMPARATIVE Rates'!F106</f>
        <v>120959</v>
      </c>
      <c r="G21" s="120">
        <f>'Revenues from COMPARATIVE Rates'!G106</f>
        <v>113449</v>
      </c>
      <c r="H21" s="120">
        <f>'Revenues from COMPARATIVE Rates'!H106</f>
        <v>86802</v>
      </c>
      <c r="I21" s="120">
        <f>'Revenues from COMPARATIVE Rates'!I106</f>
        <v>67590</v>
      </c>
      <c r="J21" s="592">
        <f>'Revenues from COMPARATIVE Rates'!J106</f>
        <v>44999</v>
      </c>
      <c r="K21" s="592">
        <f>'Revenues from COMPARATIVE Rates'!K106</f>
        <v>35404</v>
      </c>
      <c r="L21" s="592">
        <f>'Revenues from COMPARATIVE Rates'!L106</f>
        <v>22384</v>
      </c>
      <c r="M21" s="592">
        <f>'Revenues from COMPARATIVE Rates'!M106</f>
        <v>19377</v>
      </c>
      <c r="N21" s="592">
        <f>'Revenues from COMPARATIVE Rates'!N106</f>
        <v>11932</v>
      </c>
      <c r="O21" s="592">
        <f>'Revenues from COMPARATIVE Rates'!O106</f>
        <v>11438</v>
      </c>
      <c r="P21" s="120">
        <f>'Revenues from COMPARATIVE Rates'!P106</f>
        <v>7198</v>
      </c>
      <c r="Q21" s="120">
        <f>'Revenues from COMPARATIVE Rates'!Q106</f>
        <v>7246</v>
      </c>
      <c r="R21" s="120">
        <f>'Revenues from COMPARATIVE Rates'!R106</f>
        <v>4765</v>
      </c>
      <c r="S21" s="120">
        <f>'Revenues from COMPARATIVE Rates'!S106</f>
        <v>5004</v>
      </c>
      <c r="T21" s="120">
        <f>'Revenues from COMPARATIVE Rates'!T106</f>
        <v>3444</v>
      </c>
      <c r="U21" s="120">
        <f>'Revenues from COMPARATIVE Rates'!U106</f>
        <v>3674</v>
      </c>
      <c r="V21" s="120">
        <f>'Revenues from COMPARATIVE Rates'!V106</f>
        <v>2571</v>
      </c>
      <c r="W21" s="120">
        <f>'Revenues from COMPARATIVE Rates'!W106</f>
        <v>2949</v>
      </c>
      <c r="X21" s="120">
        <f>'Revenues from COMPARATIVE Rates'!X106</f>
        <v>2762</v>
      </c>
      <c r="Y21" s="120">
        <f>'Revenues from COMPARATIVE Rates'!Y106</f>
        <v>2653</v>
      </c>
      <c r="Z21" s="120">
        <f>'Revenues from COMPARATIVE Rates'!Z106</f>
        <v>2504</v>
      </c>
      <c r="AA21" s="120">
        <f>'Revenues from COMPARATIVE Rates'!AA106</f>
        <v>2269</v>
      </c>
      <c r="AB21" s="120">
        <f>'Revenues from COMPARATIVE Rates'!AB106</f>
        <v>1633</v>
      </c>
      <c r="AC21" s="120">
        <f>'Revenues from COMPARATIVE Rates'!AC106</f>
        <v>11663</v>
      </c>
      <c r="AE21" s="940">
        <f>IF('Input COMPARATIVE Rates'!$C$6=Callouts!$N$2,AE13,'Revenues from COMPARATIVE Rates'!AE37)</f>
        <v>27258</v>
      </c>
      <c r="AF21" s="940"/>
    </row>
    <row r="22" spans="2:66" hidden="1">
      <c r="B22" s="111" t="s">
        <v>175</v>
      </c>
      <c r="C22" s="121">
        <f t="shared" ref="C22:AC22" si="0">C21/SUM($C$21:$AC$21)</f>
        <v>7.7546005740378038E-2</v>
      </c>
      <c r="D22" s="121">
        <f t="shared" si="0"/>
        <v>9.7045012569368691E-2</v>
      </c>
      <c r="E22" s="121">
        <f t="shared" si="0"/>
        <v>0.13745556181549579</v>
      </c>
      <c r="F22" s="121">
        <f t="shared" si="0"/>
        <v>0.13993357265071962</v>
      </c>
      <c r="G22" s="121">
        <f t="shared" si="0"/>
        <v>0.1312454954459899</v>
      </c>
      <c r="H22" s="121">
        <f t="shared" si="0"/>
        <v>0.10041843908454737</v>
      </c>
      <c r="I22" s="121">
        <f t="shared" si="0"/>
        <v>7.8192694842567648E-2</v>
      </c>
      <c r="J22" s="593">
        <f t="shared" si="0"/>
        <v>5.2057894292361316E-2</v>
      </c>
      <c r="K22" s="593">
        <f t="shared" si="0"/>
        <v>4.0957747717210606E-2</v>
      </c>
      <c r="L22" s="593">
        <f t="shared" si="0"/>
        <v>2.5895328914869568E-2</v>
      </c>
      <c r="M22" s="593">
        <f t="shared" si="0"/>
        <v>2.2416627429566995E-2</v>
      </c>
      <c r="N22" s="593">
        <f t="shared" si="0"/>
        <v>1.3803746632068606E-2</v>
      </c>
      <c r="O22" s="593">
        <f t="shared" si="0"/>
        <v>1.3232253937110352E-2</v>
      </c>
      <c r="P22" s="121">
        <f t="shared" si="0"/>
        <v>8.3271344500192614E-3</v>
      </c>
      <c r="Q22" s="121">
        <f t="shared" si="0"/>
        <v>8.3826641045901037E-3</v>
      </c>
      <c r="R22" s="121">
        <f t="shared" si="0"/>
        <v>5.5124750839596805E-3</v>
      </c>
      <c r="S22" s="121">
        <f t="shared" si="0"/>
        <v>5.7889664890103344E-3</v>
      </c>
      <c r="T22" s="121">
        <f t="shared" si="0"/>
        <v>3.9842527154579522E-3</v>
      </c>
      <c r="U22" s="121">
        <f t="shared" si="0"/>
        <v>4.2503323102765726E-3</v>
      </c>
      <c r="V22" s="121">
        <f t="shared" si="0"/>
        <v>2.9743071229507531E-3</v>
      </c>
      <c r="W22" s="121">
        <f t="shared" si="0"/>
        <v>3.4116031526961383E-3</v>
      </c>
      <c r="X22" s="121">
        <f t="shared" si="0"/>
        <v>3.1952688734305642E-3</v>
      </c>
      <c r="Y22" s="121">
        <f t="shared" si="0"/>
        <v>3.0691702828426091E-3</v>
      </c>
      <c r="Z22" s="121">
        <f t="shared" si="0"/>
        <v>2.8967969801122857E-3</v>
      </c>
      <c r="AA22" s="121">
        <f t="shared" si="0"/>
        <v>2.6249330462758689E-3</v>
      </c>
      <c r="AB22" s="121">
        <f t="shared" si="0"/>
        <v>1.8891651232122054E-3</v>
      </c>
      <c r="AC22" s="121">
        <f t="shared" si="0"/>
        <v>1.3492549192911176E-2</v>
      </c>
      <c r="AE22" s="940"/>
      <c r="AF22" s="940"/>
    </row>
    <row r="23" spans="2:66" hidden="1">
      <c r="B23" s="111" t="s">
        <v>40</v>
      </c>
      <c r="C23" s="122">
        <f>'Revenues from COMPARATIVE Rates'!C111</f>
        <v>536248</v>
      </c>
      <c r="D23" s="122">
        <f>'Revenues from COMPARATIVE Rates'!D111</f>
        <v>796917</v>
      </c>
      <c r="E23" s="122">
        <f>'Revenues from COMPARATIVE Rates'!E111</f>
        <v>1306987</v>
      </c>
      <c r="F23" s="122">
        <f>'Revenues from COMPARATIVE Rates'!F111</f>
        <v>1632946.5</v>
      </c>
      <c r="G23" s="122">
        <f>'Revenues from COMPARATIVE Rates'!G111</f>
        <v>1815184</v>
      </c>
      <c r="H23" s="122">
        <f>'Revenues from COMPARATIVE Rates'!H111</f>
        <v>1605837</v>
      </c>
      <c r="I23" s="122">
        <f>'Revenues from COMPARATIVE Rates'!I111</f>
        <v>1419390</v>
      </c>
      <c r="J23" s="194">
        <f>'Revenues from COMPARATIVE Rates'!J111</f>
        <v>1057476.5</v>
      </c>
      <c r="K23" s="194">
        <f>'Revenues from COMPARATIVE Rates'!K111</f>
        <v>920504</v>
      </c>
      <c r="L23" s="194">
        <f>'Revenues from COMPARATIVE Rates'!L111</f>
        <v>637944</v>
      </c>
      <c r="M23" s="194">
        <f>'Revenues from COMPARATIVE Rates'!M111</f>
        <v>600687</v>
      </c>
      <c r="N23" s="194">
        <f>'Revenues from COMPARATIVE Rates'!N111</f>
        <v>399722</v>
      </c>
      <c r="O23" s="194">
        <f>'Revenues from COMPARATIVE Rates'!O111</f>
        <v>411768</v>
      </c>
      <c r="P23" s="122">
        <f>'Revenues from COMPARATIVE Rates'!P111</f>
        <v>277123</v>
      </c>
      <c r="Q23" s="122">
        <f>'Revenues from COMPARATIVE Rates'!Q111</f>
        <v>297086</v>
      </c>
      <c r="R23" s="122">
        <f>'Revenues from COMPARATIVE Rates'!R111</f>
        <v>207277.5</v>
      </c>
      <c r="S23" s="122">
        <f>'Revenues from COMPARATIVE Rates'!S111</f>
        <v>230184</v>
      </c>
      <c r="T23" s="122">
        <f>'Revenues from COMPARATIVE Rates'!T111</f>
        <v>167034</v>
      </c>
      <c r="U23" s="122">
        <f>'Revenues from COMPARATIVE Rates'!U111</f>
        <v>187374</v>
      </c>
      <c r="V23" s="122">
        <f>'Revenues from COMPARATIVE Rates'!V111</f>
        <v>137548.5</v>
      </c>
      <c r="W23" s="122">
        <f>'Revenues from COMPARATIVE Rates'!W111</f>
        <v>165144</v>
      </c>
      <c r="X23" s="122">
        <f>'Revenues from COMPARATIVE Rates'!X111</f>
        <v>161577</v>
      </c>
      <c r="Y23" s="122">
        <f>'Revenues from COMPARATIVE Rates'!Y111</f>
        <v>161833</v>
      </c>
      <c r="Z23" s="122">
        <f>'Revenues from COMPARATIVE Rates'!Z111</f>
        <v>159004</v>
      </c>
      <c r="AA23" s="122">
        <f>'Revenues from COMPARATIVE Rates'!AA111</f>
        <v>149754</v>
      </c>
      <c r="AB23" s="122">
        <f>'Revenues from COMPARATIVE Rates'!AB111</f>
        <v>111860.5</v>
      </c>
      <c r="AC23" s="122">
        <f>'Revenues from COMPARATIVE Rates'!AC111</f>
        <v>864753.13500000001</v>
      </c>
      <c r="AE23" s="940"/>
      <c r="AF23" s="940"/>
    </row>
    <row r="24" spans="2:66" hidden="1">
      <c r="B24" s="117" t="s">
        <v>41</v>
      </c>
      <c r="C24" s="122">
        <f>'Revenues from COMPARATIVE Rates'!C112</f>
        <v>536248</v>
      </c>
      <c r="D24" s="122">
        <f>'Revenues from COMPARATIVE Rates'!D112</f>
        <v>671088</v>
      </c>
      <c r="E24" s="122">
        <f>'Revenues from COMPARATIVE Rates'!E112</f>
        <v>950536</v>
      </c>
      <c r="F24" s="122">
        <f>'Revenues from COMPARATIVE Rates'!F112</f>
        <v>967672</v>
      </c>
      <c r="G24" s="122">
        <f>'Revenues from COMPARATIVE Rates'!G112</f>
        <v>907592</v>
      </c>
      <c r="H24" s="122">
        <f>'Revenues from COMPARATIVE Rates'!H112</f>
        <v>694416</v>
      </c>
      <c r="I24" s="122">
        <f>'Revenues from COMPARATIVE Rates'!I112</f>
        <v>540720</v>
      </c>
      <c r="J24" s="194">
        <f>'Revenues from COMPARATIVE Rates'!J112</f>
        <v>359992</v>
      </c>
      <c r="K24" s="194">
        <f>'Revenues from COMPARATIVE Rates'!K112</f>
        <v>283232</v>
      </c>
      <c r="L24" s="194">
        <f>'Revenues from COMPARATIVE Rates'!L112</f>
        <v>179072</v>
      </c>
      <c r="M24" s="194">
        <f>'Revenues from COMPARATIVE Rates'!M112</f>
        <v>155016</v>
      </c>
      <c r="N24" s="194">
        <f>'Revenues from COMPARATIVE Rates'!N112</f>
        <v>95456</v>
      </c>
      <c r="O24" s="194">
        <f>'Revenues from COMPARATIVE Rates'!O112</f>
        <v>91504</v>
      </c>
      <c r="P24" s="122">
        <f>'Revenues from COMPARATIVE Rates'!P112</f>
        <v>57584</v>
      </c>
      <c r="Q24" s="122">
        <f>'Revenues from COMPARATIVE Rates'!Q112</f>
        <v>57968</v>
      </c>
      <c r="R24" s="122">
        <f>'Revenues from COMPARATIVE Rates'!R112</f>
        <v>38120</v>
      </c>
      <c r="S24" s="122">
        <f>'Revenues from COMPARATIVE Rates'!S112</f>
        <v>40032</v>
      </c>
      <c r="T24" s="122">
        <f>'Revenues from COMPARATIVE Rates'!T112</f>
        <v>27552</v>
      </c>
      <c r="U24" s="122">
        <f>'Revenues from COMPARATIVE Rates'!U112</f>
        <v>29392</v>
      </c>
      <c r="V24" s="122">
        <f>'Revenues from COMPARATIVE Rates'!V112</f>
        <v>20568</v>
      </c>
      <c r="W24" s="122">
        <f>'Revenues from COMPARATIVE Rates'!W112</f>
        <v>23592</v>
      </c>
      <c r="X24" s="122">
        <f>'Revenues from COMPARATIVE Rates'!X112</f>
        <v>22096</v>
      </c>
      <c r="Y24" s="122">
        <f>'Revenues from COMPARATIVE Rates'!Y112</f>
        <v>21224</v>
      </c>
      <c r="Z24" s="122">
        <f>'Revenues from COMPARATIVE Rates'!Z112</f>
        <v>20032</v>
      </c>
      <c r="AA24" s="122">
        <f>'Revenues from COMPARATIVE Rates'!AA112</f>
        <v>18152</v>
      </c>
      <c r="AB24" s="122">
        <f>'Revenues from COMPARATIVE Rates'!AB112</f>
        <v>13064</v>
      </c>
      <c r="AC24" s="122">
        <f>'Revenues from COMPARATIVE Rates'!AC112</f>
        <v>93304</v>
      </c>
      <c r="AE24" s="940"/>
      <c r="AF24" s="940"/>
    </row>
    <row r="25" spans="2:66" hidden="1">
      <c r="B25" s="118" t="s">
        <v>43</v>
      </c>
      <c r="C25" s="122">
        <f>'Revenues from COMPARATIVE Rates'!C113</f>
        <v>0</v>
      </c>
      <c r="D25" s="122">
        <f>'Revenues from COMPARATIVE Rates'!D113</f>
        <v>125829</v>
      </c>
      <c r="E25" s="122">
        <f>'Revenues from COMPARATIVE Rates'!E113</f>
        <v>356451</v>
      </c>
      <c r="F25" s="122">
        <f>'Revenues from COMPARATIVE Rates'!F113</f>
        <v>665274.5</v>
      </c>
      <c r="G25" s="122">
        <f>'Revenues from COMPARATIVE Rates'!G113</f>
        <v>907592</v>
      </c>
      <c r="H25" s="122">
        <f>'Revenues from COMPARATIVE Rates'!H113</f>
        <v>911421</v>
      </c>
      <c r="I25" s="122">
        <f>'Revenues from COMPARATIVE Rates'!I113</f>
        <v>878670</v>
      </c>
      <c r="J25" s="194">
        <f>'Revenues from COMPARATIVE Rates'!J113</f>
        <v>697484.5</v>
      </c>
      <c r="K25" s="194">
        <f>'Revenues from COMPARATIVE Rates'!K113</f>
        <v>637272</v>
      </c>
      <c r="L25" s="194">
        <f>'Revenues from COMPARATIVE Rates'!L113</f>
        <v>458872</v>
      </c>
      <c r="M25" s="194">
        <f>'Revenues from COMPARATIVE Rates'!M113</f>
        <v>445671</v>
      </c>
      <c r="N25" s="194">
        <f>'Revenues from COMPARATIVE Rates'!N113</f>
        <v>304266</v>
      </c>
      <c r="O25" s="194">
        <f>'Revenues from COMPARATIVE Rates'!O113</f>
        <v>320264</v>
      </c>
      <c r="P25" s="122">
        <f>'Revenues from COMPARATIVE Rates'!P113</f>
        <v>219539</v>
      </c>
      <c r="Q25" s="122">
        <f>'Revenues from COMPARATIVE Rates'!Q113</f>
        <v>239118</v>
      </c>
      <c r="R25" s="122">
        <f>'Revenues from COMPARATIVE Rates'!R113</f>
        <v>169157.5</v>
      </c>
      <c r="S25" s="122">
        <f>'Revenues from COMPARATIVE Rates'!S113</f>
        <v>190152</v>
      </c>
      <c r="T25" s="122">
        <f>'Revenues from COMPARATIVE Rates'!T113</f>
        <v>139482</v>
      </c>
      <c r="U25" s="122">
        <f>'Revenues from COMPARATIVE Rates'!U113</f>
        <v>157982</v>
      </c>
      <c r="V25" s="122">
        <f>'Revenues from COMPARATIVE Rates'!V113</f>
        <v>116980.5</v>
      </c>
      <c r="W25" s="122">
        <f>'Revenues from COMPARATIVE Rates'!W113</f>
        <v>141552</v>
      </c>
      <c r="X25" s="122">
        <f>'Revenues from COMPARATIVE Rates'!X113</f>
        <v>139481</v>
      </c>
      <c r="Y25" s="122">
        <f>'Revenues from COMPARATIVE Rates'!Y113</f>
        <v>140609</v>
      </c>
      <c r="Z25" s="122">
        <f>'Revenues from COMPARATIVE Rates'!Z113</f>
        <v>138972</v>
      </c>
      <c r="AA25" s="122">
        <f>'Revenues from COMPARATIVE Rates'!AA113</f>
        <v>131602</v>
      </c>
      <c r="AB25" s="122">
        <f>'Revenues from COMPARATIVE Rates'!AB113</f>
        <v>98796.5</v>
      </c>
      <c r="AC25" s="122">
        <f>'Revenues from COMPARATIVE Rates'!AC113</f>
        <v>771449.13500000001</v>
      </c>
    </row>
    <row r="26" spans="2:66" hidden="1">
      <c r="B26" s="111" t="s">
        <v>176</v>
      </c>
      <c r="C26" s="111">
        <f>'Revenues from COMPARATIVE Rates'!D101</f>
        <v>5097</v>
      </c>
      <c r="D26" s="111" t="s">
        <v>177</v>
      </c>
      <c r="J26" s="193"/>
      <c r="K26" s="193"/>
      <c r="L26" s="193"/>
      <c r="M26" s="193"/>
      <c r="N26" s="193"/>
      <c r="O26" s="193"/>
    </row>
    <row r="27" spans="2:66" ht="13.5" thickBot="1">
      <c r="J27" s="193"/>
      <c r="K27" s="193"/>
      <c r="L27" s="193"/>
      <c r="M27" s="193"/>
      <c r="N27" s="193"/>
      <c r="O27" s="193"/>
    </row>
    <row r="28" spans="2:66" s="149" customFormat="1" ht="27" customHeight="1">
      <c r="B28" s="1093" t="s">
        <v>522</v>
      </c>
      <c r="C28" s="1094"/>
      <c r="D28" s="1094"/>
      <c r="E28" s="1094"/>
      <c r="F28" s="1094"/>
      <c r="G28" s="1094"/>
      <c r="H28" s="1094"/>
      <c r="I28" s="1095"/>
      <c r="J28" s="197"/>
      <c r="K28" s="197"/>
      <c r="L28" s="197"/>
      <c r="M28" s="197"/>
      <c r="N28" s="197"/>
      <c r="O28" s="197"/>
      <c r="AD28" s="197"/>
      <c r="AE28" s="197"/>
      <c r="AF28" s="197"/>
      <c r="AG28" s="197"/>
      <c r="AH28" s="197"/>
      <c r="AI28" s="197"/>
      <c r="AJ28" s="197"/>
      <c r="AK28" s="197"/>
      <c r="AL28" s="197"/>
      <c r="AM28" s="197"/>
      <c r="AN28" s="197"/>
      <c r="AO28" s="197"/>
      <c r="AP28" s="197"/>
      <c r="AQ28" s="197"/>
      <c r="AR28" s="197"/>
      <c r="AS28" s="197"/>
      <c r="AT28" s="197"/>
      <c r="AU28" s="197"/>
      <c r="AV28" s="197"/>
      <c r="AW28" s="197"/>
      <c r="AX28" s="197"/>
      <c r="AY28" s="197"/>
      <c r="AZ28" s="197"/>
      <c r="BA28" s="197"/>
      <c r="BB28" s="197"/>
      <c r="BC28" s="197"/>
      <c r="BD28" s="197"/>
      <c r="BE28" s="197"/>
      <c r="BF28" s="197"/>
      <c r="BG28" s="197"/>
      <c r="BH28" s="197"/>
      <c r="BI28" s="197"/>
      <c r="BJ28" s="197"/>
      <c r="BK28" s="197"/>
      <c r="BL28" s="197"/>
      <c r="BM28" s="197"/>
      <c r="BN28" s="197"/>
    </row>
    <row r="29" spans="2:66" ht="46.5" customHeight="1">
      <c r="B29" s="1018" t="s">
        <v>500</v>
      </c>
      <c r="C29" s="1019"/>
      <c r="D29" s="1019"/>
      <c r="E29" s="1019"/>
      <c r="F29" s="1019"/>
      <c r="G29" s="1019"/>
      <c r="H29" s="1019"/>
      <c r="I29" s="1020"/>
      <c r="J29" s="195"/>
      <c r="K29" s="195"/>
      <c r="L29" s="195"/>
      <c r="M29" s="195"/>
      <c r="N29" s="195"/>
      <c r="O29" s="195"/>
      <c r="P29" s="128"/>
      <c r="Q29" s="128"/>
      <c r="R29" s="128"/>
      <c r="S29" s="128"/>
      <c r="T29" s="128"/>
      <c r="U29" s="128"/>
      <c r="V29" s="128"/>
      <c r="W29" s="128"/>
      <c r="X29" s="128"/>
      <c r="Y29" s="128"/>
      <c r="Z29" s="128"/>
      <c r="AA29" s="128"/>
      <c r="AB29" s="128"/>
      <c r="AC29" s="128"/>
      <c r="AD29" s="195"/>
      <c r="AE29" s="195"/>
      <c r="AF29" s="195"/>
      <c r="AG29" s="195"/>
      <c r="AH29" s="195"/>
      <c r="AI29" s="195"/>
      <c r="AJ29" s="195"/>
      <c r="AK29" s="195"/>
      <c r="AL29" s="195"/>
      <c r="AM29" s="195"/>
      <c r="AN29" s="195"/>
      <c r="AO29" s="195"/>
      <c r="AP29" s="195"/>
      <c r="AQ29" s="195"/>
      <c r="AR29" s="195"/>
      <c r="AS29" s="195"/>
      <c r="AT29" s="195"/>
    </row>
    <row r="30" spans="2:66" s="895" customFormat="1" ht="30.75" customHeight="1">
      <c r="B30" s="896"/>
      <c r="C30" s="897" t="s">
        <v>524</v>
      </c>
      <c r="D30" s="892">
        <v>-0.15</v>
      </c>
      <c r="E30" s="1161" t="s">
        <v>501</v>
      </c>
      <c r="F30" s="1161"/>
      <c r="G30" s="1161"/>
      <c r="H30" s="1161"/>
      <c r="I30" s="1162"/>
      <c r="J30" s="483"/>
      <c r="K30" s="483"/>
      <c r="L30" s="483"/>
      <c r="M30" s="483"/>
      <c r="N30" s="483"/>
      <c r="O30" s="483"/>
      <c r="P30" s="893"/>
      <c r="Q30" s="893"/>
      <c r="R30" s="893"/>
      <c r="S30" s="893"/>
      <c r="T30" s="893"/>
      <c r="U30" s="893"/>
      <c r="V30" s="893"/>
      <c r="W30" s="893"/>
      <c r="X30" s="893"/>
      <c r="Y30" s="893"/>
      <c r="Z30" s="893"/>
      <c r="AA30" s="893"/>
      <c r="AB30" s="893"/>
      <c r="AC30" s="893"/>
      <c r="AD30" s="483"/>
      <c r="AE30" s="483"/>
      <c r="AF30" s="483"/>
      <c r="AG30" s="483"/>
      <c r="AH30" s="483"/>
      <c r="AI30" s="483"/>
      <c r="AJ30" s="483"/>
      <c r="AK30" s="483"/>
      <c r="AL30" s="483"/>
      <c r="AM30" s="483"/>
      <c r="AN30" s="483"/>
      <c r="AO30" s="483"/>
      <c r="AP30" s="483"/>
      <c r="AQ30" s="483"/>
      <c r="AR30" s="483"/>
      <c r="AS30" s="483"/>
      <c r="AT30" s="483"/>
      <c r="AU30" s="894"/>
      <c r="AV30" s="894"/>
      <c r="AW30" s="894"/>
      <c r="AX30" s="894"/>
      <c r="AY30" s="894"/>
      <c r="AZ30" s="894"/>
      <c r="BA30" s="894"/>
      <c r="BB30" s="894"/>
      <c r="BC30" s="894"/>
      <c r="BD30" s="894"/>
      <c r="BE30" s="894"/>
      <c r="BF30" s="894"/>
      <c r="BG30" s="894"/>
      <c r="BH30" s="894"/>
      <c r="BI30" s="894"/>
      <c r="BJ30" s="894"/>
      <c r="BK30" s="894"/>
      <c r="BL30" s="894"/>
      <c r="BM30" s="894"/>
      <c r="BN30" s="894"/>
    </row>
    <row r="31" spans="2:66" ht="14.25">
      <c r="B31" s="812"/>
      <c r="C31" s="355"/>
      <c r="D31" s="355"/>
      <c r="E31" s="355"/>
      <c r="F31" s="355"/>
      <c r="G31" s="355"/>
      <c r="H31" s="355"/>
      <c r="I31" s="807"/>
      <c r="J31" s="195"/>
      <c r="K31" s="195" t="s">
        <v>248</v>
      </c>
      <c r="L31" s="195" t="s">
        <v>261</v>
      </c>
      <c r="M31" s="195" t="s">
        <v>192</v>
      </c>
      <c r="N31" s="195"/>
      <c r="O31" s="195"/>
      <c r="P31" s="128"/>
      <c r="Q31" s="128"/>
      <c r="R31" s="128"/>
      <c r="S31" s="128"/>
      <c r="T31" s="128"/>
      <c r="U31" s="128"/>
      <c r="V31" s="128"/>
      <c r="W31" s="128"/>
      <c r="X31" s="128"/>
      <c r="Y31" s="128"/>
      <c r="Z31" s="128"/>
      <c r="AA31" s="128"/>
      <c r="AB31" s="128"/>
      <c r="AC31" s="128"/>
      <c r="AD31" s="195"/>
      <c r="AE31" s="195"/>
      <c r="AF31" s="195"/>
      <c r="AG31" s="195"/>
      <c r="AH31" s="195"/>
      <c r="AI31" s="195"/>
      <c r="AJ31" s="195"/>
      <c r="AK31" s="195"/>
      <c r="AL31" s="195"/>
      <c r="AM31" s="195"/>
      <c r="AN31" s="195"/>
      <c r="AO31" s="195"/>
      <c r="AP31" s="195"/>
      <c r="AQ31" s="195"/>
      <c r="AR31" s="195"/>
      <c r="AS31" s="195"/>
      <c r="AT31" s="195"/>
    </row>
    <row r="32" spans="2:66" ht="93" customHeight="1" thickBot="1">
      <c r="B32" s="1155" t="str">
        <f>"Note: not every residential customer will decrease demand by exactly "&amp;ROUND(-$D$30*100,0)&amp;"%. Statistical analysis by the EFC of billing records of hundreds of thousands of customers in utilities during a sudden water shortage period in which conservation programs were initiated and affected significant declines "&amp;"in residential water use found that high volume-using customers had higher than average reductions in use while low volume-using customers had below average reductions in use. "&amp;"This tool uses models that estimate how your utility's residential customers will change their water use levels (based on their existing demand distribution) to achieve a net reduction to average residential water use that is close to (but not exactly) "&amp;ROUND(-$D$30*100,0)&amp;"%, plus or minus 5%, using similar water use patterns observed by the real customers analyzed from other utilities."</f>
        <v>Note: not every residential customer will decrease demand by exactly 15%. Statistical analysis by the EFC of billing records of hundreds of thousands of customers in utilities during a sudden water shortage period in which conservation programs were initiated and affected significant declines in residential water use found that high volume-using customers had higher than average reductions in use while low volume-using customers had below average reductions in use. This tool uses models that estimate how your utility's residential customers will change their water use levels (based on their existing demand distribution) to achieve a net reduction to average residential water use that is close to (but not exactly) 15%, plus or minus 5%, using similar water use patterns observed by the real customers analyzed from other utilities.</v>
      </c>
      <c r="C32" s="1156"/>
      <c r="D32" s="1156"/>
      <c r="E32" s="1156"/>
      <c r="F32" s="1156"/>
      <c r="G32" s="1156"/>
      <c r="H32" s="1156"/>
      <c r="I32" s="1157"/>
      <c r="J32" s="195"/>
      <c r="K32" s="594">
        <f>MIN(0%,D30+5%)</f>
        <v>-9.9999999999999992E-2</v>
      </c>
      <c r="L32" s="594">
        <f>MIN(0%,D30-5%)</f>
        <v>-0.2</v>
      </c>
      <c r="M32" s="195" t="str">
        <f>ROUND(-K32*100,1)&amp;"% - "&amp;ROUND(-L32*100,1)&amp;"%"</f>
        <v>10% - 20%</v>
      </c>
      <c r="N32" s="195"/>
      <c r="O32" s="195"/>
      <c r="P32" s="128"/>
      <c r="Q32" s="128"/>
      <c r="R32" s="128"/>
      <c r="S32" s="128"/>
      <c r="T32" s="128"/>
      <c r="U32" s="128"/>
      <c r="V32" s="128"/>
      <c r="W32" s="128"/>
      <c r="X32" s="128"/>
      <c r="Y32" s="128"/>
      <c r="Z32" s="128"/>
      <c r="AA32" s="128"/>
      <c r="AB32" s="128"/>
      <c r="AC32" s="128"/>
      <c r="AD32" s="195"/>
      <c r="AE32" s="195"/>
      <c r="AF32" s="195"/>
      <c r="AG32" s="195"/>
      <c r="AH32" s="195"/>
      <c r="AI32" s="195"/>
      <c r="AJ32" s="195"/>
      <c r="AK32" s="195"/>
      <c r="AL32" s="195"/>
      <c r="AM32" s="195"/>
      <c r="AN32" s="195"/>
      <c r="AO32" s="195"/>
      <c r="AP32" s="195"/>
      <c r="AQ32" s="195"/>
      <c r="AR32" s="195"/>
      <c r="AS32" s="195"/>
      <c r="AT32" s="195"/>
    </row>
    <row r="33" spans="2:66" ht="15" thickBot="1">
      <c r="B33" s="128"/>
      <c r="C33" s="128"/>
      <c r="D33" s="128"/>
      <c r="E33" s="128"/>
      <c r="F33" s="128"/>
      <c r="G33" s="128"/>
      <c r="H33" s="128"/>
      <c r="I33" s="128"/>
      <c r="J33" s="195"/>
      <c r="K33" s="594"/>
      <c r="L33" s="594"/>
      <c r="M33" s="195"/>
      <c r="N33" s="195"/>
      <c r="O33" s="195"/>
      <c r="P33" s="128"/>
      <c r="Q33" s="128"/>
      <c r="R33" s="128"/>
      <c r="S33" s="128"/>
      <c r="T33" s="128"/>
      <c r="U33" s="128"/>
      <c r="V33" s="128"/>
      <c r="W33" s="128"/>
      <c r="X33" s="128"/>
      <c r="Y33" s="128"/>
      <c r="Z33" s="128"/>
      <c r="AA33" s="128"/>
      <c r="AB33" s="128"/>
      <c r="AC33" s="128"/>
      <c r="AD33" s="195"/>
      <c r="AE33" s="195"/>
      <c r="AF33" s="195"/>
      <c r="AG33" s="195"/>
      <c r="AH33" s="195"/>
      <c r="AI33" s="195"/>
      <c r="AJ33" s="195"/>
      <c r="AK33" s="195"/>
      <c r="AL33" s="195"/>
      <c r="AM33" s="195"/>
      <c r="AN33" s="195"/>
      <c r="AO33" s="195"/>
      <c r="AP33" s="195"/>
      <c r="AQ33" s="195"/>
      <c r="AR33" s="195"/>
      <c r="AS33" s="195"/>
      <c r="AT33" s="195"/>
    </row>
    <row r="34" spans="2:66" ht="27" customHeight="1">
      <c r="B34" s="1093" t="s">
        <v>503</v>
      </c>
      <c r="C34" s="1094"/>
      <c r="D34" s="1094"/>
      <c r="E34" s="1094"/>
      <c r="F34" s="1094"/>
      <c r="G34" s="1094"/>
      <c r="H34" s="1094"/>
      <c r="I34" s="1095"/>
      <c r="J34" s="135"/>
      <c r="K34" s="135"/>
      <c r="L34" s="135"/>
      <c r="M34" s="135"/>
      <c r="N34" s="135"/>
      <c r="O34" s="135"/>
      <c r="P34" s="135"/>
      <c r="Q34" s="135"/>
      <c r="R34" s="128"/>
      <c r="S34" s="128"/>
      <c r="T34" s="128"/>
      <c r="U34" s="128"/>
      <c r="V34" s="128"/>
      <c r="W34" s="128"/>
      <c r="X34" s="128"/>
      <c r="Y34" s="128"/>
      <c r="Z34" s="128"/>
      <c r="AA34" s="128"/>
      <c r="AB34" s="128"/>
      <c r="AC34" s="128"/>
      <c r="AD34" s="195"/>
      <c r="AE34" s="195"/>
      <c r="AF34" s="195"/>
      <c r="AG34" s="195"/>
      <c r="AH34" s="195"/>
      <c r="AI34" s="195"/>
      <c r="AJ34" s="195"/>
      <c r="AK34" s="195"/>
      <c r="AL34" s="195"/>
      <c r="AM34" s="195"/>
      <c r="AN34" s="195"/>
      <c r="AO34" s="195"/>
      <c r="AP34" s="195"/>
      <c r="AQ34" s="195"/>
      <c r="AR34" s="195"/>
      <c r="AS34" s="195"/>
      <c r="AT34" s="195"/>
    </row>
    <row r="35" spans="2:66" ht="36" customHeight="1">
      <c r="B35" s="1018" t="s">
        <v>504</v>
      </c>
      <c r="C35" s="1019"/>
      <c r="D35" s="1019"/>
      <c r="E35" s="1019"/>
      <c r="F35" s="1019"/>
      <c r="G35" s="1019"/>
      <c r="H35" s="1019"/>
      <c r="I35" s="1020"/>
      <c r="J35" s="128"/>
      <c r="K35" s="128"/>
      <c r="L35" s="128"/>
      <c r="M35" s="128"/>
      <c r="N35" s="128"/>
      <c r="O35" s="128"/>
      <c r="P35" s="128"/>
      <c r="Q35" s="128"/>
      <c r="R35" s="128"/>
      <c r="S35" s="128"/>
      <c r="T35" s="128"/>
      <c r="U35" s="128"/>
      <c r="V35" s="128"/>
      <c r="W35" s="128"/>
      <c r="X35" s="128"/>
      <c r="Y35" s="128"/>
      <c r="Z35" s="128"/>
      <c r="AA35" s="128"/>
      <c r="AB35" s="128"/>
      <c r="AC35" s="128"/>
      <c r="AD35" s="195"/>
      <c r="AE35" s="195"/>
      <c r="AF35" s="195"/>
      <c r="AG35" s="195"/>
      <c r="AH35" s="195"/>
      <c r="AI35" s="195"/>
      <c r="AJ35" s="195"/>
      <c r="AK35" s="195"/>
      <c r="AL35" s="195"/>
      <c r="AM35" s="195"/>
      <c r="AN35" s="195"/>
      <c r="AO35" s="195"/>
      <c r="AP35" s="195"/>
      <c r="AQ35" s="195"/>
      <c r="AR35" s="195"/>
      <c r="AS35" s="195"/>
      <c r="AT35" s="195"/>
    </row>
    <row r="36" spans="2:66" ht="15">
      <c r="B36" s="917"/>
      <c r="C36" s="918"/>
      <c r="D36" s="918"/>
      <c r="E36" s="918"/>
      <c r="F36" s="918"/>
      <c r="G36" s="918"/>
      <c r="H36" s="918"/>
      <c r="I36" s="919"/>
      <c r="J36" s="128"/>
      <c r="K36" s="128"/>
      <c r="L36" s="128"/>
      <c r="M36" s="128"/>
      <c r="N36" s="128"/>
      <c r="O36" s="128"/>
      <c r="P36" s="128"/>
      <c r="Q36" s="128"/>
      <c r="R36" s="128"/>
      <c r="S36" s="128"/>
      <c r="T36" s="128"/>
      <c r="U36" s="128"/>
      <c r="V36" s="128"/>
      <c r="W36" s="128"/>
      <c r="X36" s="128"/>
      <c r="Y36" s="128"/>
      <c r="Z36" s="128"/>
      <c r="AA36" s="128"/>
      <c r="AB36" s="128"/>
      <c r="AC36" s="128"/>
      <c r="AD36" s="195"/>
      <c r="AE36" s="195"/>
      <c r="AF36" s="195"/>
      <c r="AG36" s="195"/>
      <c r="AH36" s="195"/>
      <c r="AI36" s="195"/>
      <c r="AJ36" s="195"/>
      <c r="AK36" s="195"/>
      <c r="AL36" s="195"/>
      <c r="AM36" s="195"/>
      <c r="AN36" s="195"/>
      <c r="AO36" s="195"/>
      <c r="AP36" s="195"/>
      <c r="AQ36" s="195"/>
      <c r="AR36" s="195"/>
      <c r="AS36" s="195"/>
      <c r="AT36" s="195"/>
    </row>
    <row r="37" spans="2:66" ht="16.5" thickBot="1">
      <c r="B37" s="814" t="s">
        <v>505</v>
      </c>
      <c r="C37" s="355"/>
      <c r="D37" s="355"/>
      <c r="E37" s="355"/>
      <c r="F37" s="355"/>
      <c r="G37" s="355"/>
      <c r="H37" s="355"/>
      <c r="I37" s="807"/>
      <c r="J37" s="128"/>
      <c r="K37" s="128"/>
      <c r="L37" s="128"/>
      <c r="M37" s="128"/>
      <c r="N37" s="128"/>
      <c r="O37" s="128"/>
      <c r="P37" s="128"/>
      <c r="Q37" s="128"/>
      <c r="R37" s="128"/>
      <c r="S37" s="128"/>
      <c r="T37" s="128"/>
      <c r="U37" s="128"/>
      <c r="V37" s="128"/>
      <c r="W37" s="128"/>
      <c r="X37" s="128"/>
      <c r="Y37" s="128"/>
      <c r="Z37" s="128"/>
      <c r="AA37" s="128"/>
      <c r="AB37" s="128"/>
      <c r="AC37" s="128"/>
      <c r="AD37" s="195"/>
      <c r="AE37" s="195"/>
      <c r="AF37" s="195"/>
      <c r="AG37" s="195"/>
      <c r="AH37" s="195"/>
      <c r="AI37" s="195"/>
      <c r="AJ37" s="195"/>
      <c r="AK37" s="195"/>
      <c r="AL37" s="195"/>
      <c r="AM37" s="195"/>
      <c r="AN37" s="195"/>
      <c r="AO37" s="195"/>
      <c r="AP37" s="195"/>
      <c r="AQ37" s="195"/>
      <c r="AR37" s="195"/>
      <c r="AS37" s="195"/>
      <c r="AT37" s="195"/>
    </row>
    <row r="38" spans="2:66" s="151" customFormat="1" ht="25.5" customHeight="1">
      <c r="B38" s="183" t="str">
        <f>'Revenues from COMPARATIVE Rates'!B27</f>
        <v>Gallons/month:</v>
      </c>
      <c r="C38" s="651">
        <f t="shared" ref="C38:AC38" si="1">C11</f>
        <v>0</v>
      </c>
      <c r="D38" s="651" t="str">
        <f t="shared" si="1"/>
        <v>1 - 1000</v>
      </c>
      <c r="E38" s="651" t="str">
        <f t="shared" si="1"/>
        <v>1001 - 2000</v>
      </c>
      <c r="F38" s="651" t="str">
        <f t="shared" si="1"/>
        <v>2001 - 3000</v>
      </c>
      <c r="G38" s="651" t="str">
        <f t="shared" si="1"/>
        <v>3001 - 4000</v>
      </c>
      <c r="H38" s="651" t="str">
        <f t="shared" si="1"/>
        <v>4001 - 5000</v>
      </c>
      <c r="I38" s="651" t="str">
        <f t="shared" si="1"/>
        <v>5001 - 6000</v>
      </c>
      <c r="J38" s="651" t="str">
        <f t="shared" si="1"/>
        <v>6001 - 7000</v>
      </c>
      <c r="K38" s="651" t="str">
        <f t="shared" si="1"/>
        <v>7001 - 8000</v>
      </c>
      <c r="L38" s="651" t="str">
        <f t="shared" si="1"/>
        <v>8001 - 9000</v>
      </c>
      <c r="M38" s="651" t="str">
        <f t="shared" si="1"/>
        <v>9001 - 10000</v>
      </c>
      <c r="N38" s="651" t="str">
        <f t="shared" si="1"/>
        <v>10001 - 11000</v>
      </c>
      <c r="O38" s="651" t="str">
        <f t="shared" si="1"/>
        <v>11001 - 12000</v>
      </c>
      <c r="P38" s="651" t="str">
        <f t="shared" si="1"/>
        <v>12001 - 13000</v>
      </c>
      <c r="Q38" s="651" t="str">
        <f t="shared" si="1"/>
        <v>13001 - 14000</v>
      </c>
      <c r="R38" s="651" t="str">
        <f t="shared" si="1"/>
        <v>14001 - 15000</v>
      </c>
      <c r="S38" s="651" t="str">
        <f t="shared" si="1"/>
        <v>15001 - 16000</v>
      </c>
      <c r="T38" s="651" t="str">
        <f t="shared" si="1"/>
        <v>16001 - 17000</v>
      </c>
      <c r="U38" s="651" t="str">
        <f t="shared" si="1"/>
        <v>17001 - 18000</v>
      </c>
      <c r="V38" s="651" t="str">
        <f t="shared" si="1"/>
        <v>18001 - 19000</v>
      </c>
      <c r="W38" s="651" t="str">
        <f t="shared" si="1"/>
        <v>19001 - 20000</v>
      </c>
      <c r="X38" s="651" t="str">
        <f t="shared" si="1"/>
        <v>20001 - 21000</v>
      </c>
      <c r="Y38" s="651" t="str">
        <f t="shared" si="1"/>
        <v>21001 - 22000</v>
      </c>
      <c r="Z38" s="651" t="str">
        <f t="shared" si="1"/>
        <v>22001 - 23000</v>
      </c>
      <c r="AA38" s="651" t="str">
        <f t="shared" si="1"/>
        <v>23001 - 24000</v>
      </c>
      <c r="AB38" s="651" t="str">
        <f t="shared" si="1"/>
        <v>24001 - 25000</v>
      </c>
      <c r="AC38" s="898" t="str">
        <f t="shared" si="1"/>
        <v>&gt;25,000</v>
      </c>
      <c r="AD38" s="200"/>
      <c r="AE38" s="200" t="s">
        <v>188</v>
      </c>
      <c r="AF38" s="200"/>
      <c r="AG38" s="200"/>
      <c r="AH38" s="200"/>
      <c r="AI38" s="200"/>
      <c r="AJ38" s="200"/>
      <c r="AK38" s="200"/>
      <c r="AL38" s="200"/>
      <c r="AM38" s="200"/>
      <c r="AN38" s="200"/>
      <c r="AO38" s="200"/>
      <c r="AP38" s="200"/>
      <c r="AQ38" s="200"/>
      <c r="AR38" s="200"/>
      <c r="AS38" s="200"/>
      <c r="AT38" s="200"/>
      <c r="AU38" s="201"/>
      <c r="AV38" s="201"/>
      <c r="AW38" s="201"/>
      <c r="AX38" s="201"/>
      <c r="AY38" s="201"/>
      <c r="AZ38" s="201"/>
      <c r="BA38" s="201"/>
      <c r="BB38" s="201"/>
      <c r="BC38" s="201"/>
      <c r="BD38" s="201"/>
      <c r="BE38" s="201"/>
      <c r="BF38" s="201"/>
      <c r="BG38" s="201"/>
      <c r="BH38" s="201"/>
      <c r="BI38" s="201"/>
      <c r="BJ38" s="201"/>
      <c r="BK38" s="201"/>
      <c r="BL38" s="201"/>
      <c r="BM38" s="201"/>
      <c r="BN38" s="201"/>
    </row>
    <row r="39" spans="2:66" ht="15">
      <c r="B39" s="180" t="s">
        <v>178</v>
      </c>
      <c r="C39" s="185">
        <f>'pred conserv percent - REFEREN'!D$39</f>
        <v>6.8171866249816734E-2</v>
      </c>
      <c r="D39" s="185">
        <f>'pred conserv percent - REFEREN'!E$39</f>
        <v>0.12093398578563457</v>
      </c>
      <c r="E39" s="185">
        <f>'pred conserv percent - REFEREN'!F$39</f>
        <v>0.16976502618350503</v>
      </c>
      <c r="F39" s="185">
        <f>'pred conserv percent - REFEREN'!G$39</f>
        <v>0.16368531725640853</v>
      </c>
      <c r="G39" s="185">
        <f>'pred conserv percent - REFEREN'!H$39</f>
        <v>0.1345101284148742</v>
      </c>
      <c r="H39" s="185">
        <f>'pred conserv percent - REFEREN'!I$39</f>
        <v>0.1000607633405222</v>
      </c>
      <c r="I39" s="185">
        <f>'pred conserv percent - REFEREN'!J$39</f>
        <v>6.959153448519792E-2</v>
      </c>
      <c r="J39" s="185">
        <f>'pred conserv percent - REFEREN'!K$39</f>
        <v>4.5653707430193445E-2</v>
      </c>
      <c r="K39" s="185">
        <f>'pred conserv percent - REFEREN'!L$39</f>
        <v>3.0174363827332747E-2</v>
      </c>
      <c r="L39" s="185">
        <f>'pred conserv percent - REFEREN'!M$39</f>
        <v>2.1077064227146714E-2</v>
      </c>
      <c r="M39" s="185">
        <f>'pred conserv percent - REFEREN'!N$39</f>
        <v>1.4985883081105872E-2</v>
      </c>
      <c r="N39" s="185">
        <f>'pred conserv percent - REFEREN'!O$39</f>
        <v>1.0322421479906432E-2</v>
      </c>
      <c r="O39" s="185">
        <f>'pred conserv percent - REFEREN'!P$39</f>
        <v>8.1398150051412189E-3</v>
      </c>
      <c r="P39" s="185">
        <f>'pred conserv percent - REFEREN'!Q$39</f>
        <v>5.5256536404058292E-3</v>
      </c>
      <c r="Q39" s="185">
        <f>'pred conserv percent - REFEREN'!R$39</f>
        <v>5.4238010428875449E-3</v>
      </c>
      <c r="R39" s="185">
        <f>'pred conserv percent - REFEREN'!S$39</f>
        <v>4.3108175976849655E-3</v>
      </c>
      <c r="S39" s="185">
        <f>'pred conserv percent - REFEREN'!T$39</f>
        <v>2.4164526748828418E-3</v>
      </c>
      <c r="T39" s="185">
        <f>'pred conserv percent - REFEREN'!U$39</f>
        <v>2.812755513145596E-3</v>
      </c>
      <c r="U39" s="185">
        <f>'pred conserv percent - REFEREN'!V$39</f>
        <v>2.7407696940475374E-3</v>
      </c>
      <c r="V39" s="185">
        <f>'pred conserv percent - REFEREN'!W$39</f>
        <v>3.066505292762024E-3</v>
      </c>
      <c r="W39" s="185">
        <f>'pred conserv percent - REFEREN'!X$39</f>
        <v>1.5966933603509463E-3</v>
      </c>
      <c r="X39" s="185">
        <f>'pred conserv percent - REFEREN'!Y$39</f>
        <v>1.1851834806884745E-3</v>
      </c>
      <c r="Y39" s="185">
        <f>'pred conserv percent - REFEREN'!Z$39</f>
        <v>1.1965956373007915E-3</v>
      </c>
      <c r="Z39" s="185">
        <f>'pred conserv percent - REFEREN'!AA$39</f>
        <v>1.1844784325742868E-3</v>
      </c>
      <c r="AA39" s="185">
        <f>'pred conserv percent - REFEREN'!AB$39</f>
        <v>1.3541138799702907E-3</v>
      </c>
      <c r="AB39" s="185">
        <f>'pred conserv percent - REFEREN'!AC$39</f>
        <v>1.7085274063156713E-3</v>
      </c>
      <c r="AC39" s="186">
        <f>'pred conserv percent - REFEREN'!AD$39</f>
        <v>8.4057755801977326E-3</v>
      </c>
      <c r="AD39" s="195"/>
      <c r="AE39" s="202">
        <f>AE13-(AE13*-$D$30)</f>
        <v>23375</v>
      </c>
      <c r="AF39" s="195"/>
      <c r="AG39" s="195"/>
      <c r="AH39" s="195"/>
      <c r="AI39" s="195"/>
      <c r="AJ39" s="195"/>
      <c r="AK39" s="195"/>
      <c r="AL39" s="195"/>
      <c r="AM39" s="195"/>
      <c r="AN39" s="195"/>
      <c r="AO39" s="195"/>
      <c r="AP39" s="195"/>
      <c r="AQ39" s="195"/>
      <c r="AR39" s="195"/>
      <c r="AS39" s="195"/>
      <c r="AT39" s="195"/>
    </row>
    <row r="40" spans="2:66" s="895" customFormat="1" ht="30" customHeight="1">
      <c r="B40" s="902" t="s">
        <v>507</v>
      </c>
      <c r="C40" s="903"/>
      <c r="D40" s="903"/>
      <c r="E40" s="903"/>
      <c r="F40" s="903"/>
      <c r="G40" s="903"/>
      <c r="H40" s="903"/>
      <c r="I40" s="903"/>
      <c r="J40" s="903"/>
      <c r="K40" s="903"/>
      <c r="L40" s="903"/>
      <c r="M40" s="903"/>
      <c r="N40" s="903"/>
      <c r="O40" s="903"/>
      <c r="P40" s="903"/>
      <c r="Q40" s="903"/>
      <c r="R40" s="903"/>
      <c r="S40" s="903"/>
      <c r="T40" s="903"/>
      <c r="U40" s="903"/>
      <c r="V40" s="903"/>
      <c r="W40" s="903"/>
      <c r="X40" s="903"/>
      <c r="Y40" s="903"/>
      <c r="Z40" s="903"/>
      <c r="AA40" s="903"/>
      <c r="AB40" s="903"/>
      <c r="AC40" s="844"/>
      <c r="AD40" s="483"/>
      <c r="AE40" s="483"/>
      <c r="AF40" s="483"/>
      <c r="AG40" s="483"/>
      <c r="AH40" s="483"/>
      <c r="AI40" s="483"/>
      <c r="AJ40" s="483"/>
      <c r="AK40" s="483"/>
      <c r="AL40" s="483"/>
      <c r="AM40" s="483"/>
      <c r="AN40" s="483"/>
      <c r="AO40" s="483"/>
      <c r="AP40" s="483"/>
      <c r="AQ40" s="483"/>
      <c r="AR40" s="483"/>
      <c r="AS40" s="483"/>
      <c r="AT40" s="483"/>
      <c r="AU40" s="894"/>
      <c r="AV40" s="894"/>
      <c r="AW40" s="894"/>
      <c r="AX40" s="894"/>
      <c r="AY40" s="894"/>
      <c r="AZ40" s="894"/>
      <c r="BA40" s="894"/>
      <c r="BB40" s="894"/>
      <c r="BC40" s="894"/>
      <c r="BD40" s="894"/>
      <c r="BE40" s="894"/>
      <c r="BF40" s="894"/>
      <c r="BG40" s="894"/>
      <c r="BH40" s="894"/>
      <c r="BI40" s="894"/>
      <c r="BJ40" s="894"/>
      <c r="BK40" s="894"/>
      <c r="BL40" s="894"/>
      <c r="BM40" s="894"/>
      <c r="BN40" s="894"/>
    </row>
    <row r="41" spans="2:66" ht="15">
      <c r="B41" s="900" t="s">
        <v>186</v>
      </c>
      <c r="C41" s="899" t="str">
        <f>IF(OR(SUM(C40:AC40)=1,SUM(C40:AC40)=0),"","The sum of the percentages in the row above MUST equal 100% exactly")</f>
        <v/>
      </c>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88"/>
      <c r="AD41" s="195"/>
      <c r="AE41" s="195"/>
      <c r="AF41" s="195"/>
      <c r="AG41" s="195"/>
      <c r="AH41" s="195"/>
      <c r="AI41" s="195"/>
      <c r="AJ41" s="195"/>
      <c r="AK41" s="195"/>
      <c r="AL41" s="195"/>
      <c r="AM41" s="195"/>
      <c r="AN41" s="195"/>
      <c r="AO41" s="195"/>
      <c r="AP41" s="195"/>
      <c r="AQ41" s="195"/>
      <c r="AR41" s="195"/>
      <c r="AS41" s="195"/>
      <c r="AT41" s="195"/>
    </row>
    <row r="42" spans="2:66" ht="15.75" thickBot="1">
      <c r="B42" s="901" t="s">
        <v>509</v>
      </c>
      <c r="C42" s="911">
        <f>IF(C40="",C39,C40)</f>
        <v>6.8171866249816734E-2</v>
      </c>
      <c r="D42" s="911">
        <f t="shared" ref="D42:AC42" si="2">IF(D40="",D39,D40)</f>
        <v>0.12093398578563457</v>
      </c>
      <c r="E42" s="911">
        <f t="shared" si="2"/>
        <v>0.16976502618350503</v>
      </c>
      <c r="F42" s="911">
        <f t="shared" si="2"/>
        <v>0.16368531725640853</v>
      </c>
      <c r="G42" s="911">
        <f t="shared" si="2"/>
        <v>0.1345101284148742</v>
      </c>
      <c r="H42" s="911">
        <f t="shared" si="2"/>
        <v>0.1000607633405222</v>
      </c>
      <c r="I42" s="911">
        <f t="shared" si="2"/>
        <v>6.959153448519792E-2</v>
      </c>
      <c r="J42" s="911">
        <f t="shared" si="2"/>
        <v>4.5653707430193445E-2</v>
      </c>
      <c r="K42" s="911">
        <f t="shared" si="2"/>
        <v>3.0174363827332747E-2</v>
      </c>
      <c r="L42" s="911">
        <f t="shared" si="2"/>
        <v>2.1077064227146714E-2</v>
      </c>
      <c r="M42" s="911">
        <f t="shared" si="2"/>
        <v>1.4985883081105872E-2</v>
      </c>
      <c r="N42" s="911">
        <f t="shared" si="2"/>
        <v>1.0322421479906432E-2</v>
      </c>
      <c r="O42" s="911">
        <f t="shared" si="2"/>
        <v>8.1398150051412189E-3</v>
      </c>
      <c r="P42" s="911">
        <f t="shared" si="2"/>
        <v>5.5256536404058292E-3</v>
      </c>
      <c r="Q42" s="911">
        <f t="shared" si="2"/>
        <v>5.4238010428875449E-3</v>
      </c>
      <c r="R42" s="911">
        <f t="shared" si="2"/>
        <v>4.3108175976849655E-3</v>
      </c>
      <c r="S42" s="911">
        <f t="shared" si="2"/>
        <v>2.4164526748828418E-3</v>
      </c>
      <c r="T42" s="911">
        <f t="shared" si="2"/>
        <v>2.812755513145596E-3</v>
      </c>
      <c r="U42" s="911">
        <f t="shared" si="2"/>
        <v>2.7407696940475374E-3</v>
      </c>
      <c r="V42" s="911">
        <f t="shared" si="2"/>
        <v>3.066505292762024E-3</v>
      </c>
      <c r="W42" s="911">
        <f t="shared" si="2"/>
        <v>1.5966933603509463E-3</v>
      </c>
      <c r="X42" s="911">
        <f t="shared" si="2"/>
        <v>1.1851834806884745E-3</v>
      </c>
      <c r="Y42" s="911">
        <f t="shared" si="2"/>
        <v>1.1965956373007915E-3</v>
      </c>
      <c r="Z42" s="911">
        <f t="shared" si="2"/>
        <v>1.1844784325742868E-3</v>
      </c>
      <c r="AA42" s="911">
        <f t="shared" si="2"/>
        <v>1.3541138799702907E-3</v>
      </c>
      <c r="AB42" s="911">
        <f t="shared" si="2"/>
        <v>1.7085274063156713E-3</v>
      </c>
      <c r="AC42" s="912">
        <f t="shared" si="2"/>
        <v>8.4057755801977326E-3</v>
      </c>
      <c r="AD42" s="195"/>
      <c r="AE42" s="195"/>
      <c r="AF42" s="195"/>
      <c r="AG42" s="195"/>
      <c r="AH42" s="195"/>
      <c r="AI42" s="195"/>
      <c r="AJ42" s="195"/>
      <c r="AK42" s="195"/>
      <c r="AL42" s="195"/>
      <c r="AM42" s="195"/>
      <c r="AN42" s="195"/>
      <c r="AO42" s="195"/>
      <c r="AP42" s="195"/>
      <c r="AQ42" s="195"/>
      <c r="AR42" s="195"/>
      <c r="AS42" s="195"/>
      <c r="AT42" s="195"/>
    </row>
    <row r="43" spans="2:66" ht="15" hidden="1">
      <c r="B43" s="180" t="s">
        <v>187</v>
      </c>
      <c r="C43" s="189">
        <f>ROUND(C42*SUM($C$13:$AC$13),0)</f>
        <v>58928</v>
      </c>
      <c r="D43" s="189">
        <f t="shared" ref="D43:AB43" si="3">ROUND(D42*SUM($C$13:$AC$13),0)</f>
        <v>104536</v>
      </c>
      <c r="E43" s="189">
        <f t="shared" si="3"/>
        <v>146745</v>
      </c>
      <c r="F43" s="189">
        <f t="shared" si="3"/>
        <v>141490</v>
      </c>
      <c r="G43" s="189">
        <f t="shared" si="3"/>
        <v>116271</v>
      </c>
      <c r="H43" s="189">
        <f t="shared" si="3"/>
        <v>86493</v>
      </c>
      <c r="I43" s="189">
        <f t="shared" si="3"/>
        <v>60155</v>
      </c>
      <c r="J43" s="189">
        <f t="shared" si="3"/>
        <v>39463</v>
      </c>
      <c r="K43" s="189">
        <f t="shared" si="3"/>
        <v>26083</v>
      </c>
      <c r="L43" s="189">
        <f t="shared" si="3"/>
        <v>18219</v>
      </c>
      <c r="M43" s="189">
        <f t="shared" si="3"/>
        <v>12954</v>
      </c>
      <c r="N43" s="189">
        <f t="shared" si="3"/>
        <v>8923</v>
      </c>
      <c r="O43" s="189">
        <f t="shared" si="3"/>
        <v>7036</v>
      </c>
      <c r="P43" s="189">
        <f t="shared" si="3"/>
        <v>4776</v>
      </c>
      <c r="Q43" s="189">
        <f t="shared" si="3"/>
        <v>4688</v>
      </c>
      <c r="R43" s="189">
        <f t="shared" si="3"/>
        <v>3726</v>
      </c>
      <c r="S43" s="189">
        <f t="shared" si="3"/>
        <v>2089</v>
      </c>
      <c r="T43" s="189">
        <f t="shared" si="3"/>
        <v>2431</v>
      </c>
      <c r="U43" s="189">
        <f t="shared" si="3"/>
        <v>2369</v>
      </c>
      <c r="V43" s="189">
        <f t="shared" si="3"/>
        <v>2651</v>
      </c>
      <c r="W43" s="189">
        <f t="shared" si="3"/>
        <v>1380</v>
      </c>
      <c r="X43" s="189">
        <f t="shared" si="3"/>
        <v>1024</v>
      </c>
      <c r="Y43" s="189">
        <f t="shared" si="3"/>
        <v>1034</v>
      </c>
      <c r="Z43" s="189">
        <f t="shared" si="3"/>
        <v>1024</v>
      </c>
      <c r="AA43" s="189">
        <f t="shared" si="3"/>
        <v>1170</v>
      </c>
      <c r="AB43" s="189">
        <f t="shared" si="3"/>
        <v>1477</v>
      </c>
      <c r="AC43" s="190">
        <f>ROUND(AC42*SUM($C$13:$AC$13),0)</f>
        <v>7266</v>
      </c>
      <c r="AD43" s="195"/>
      <c r="AE43" s="195"/>
      <c r="AF43" s="195"/>
      <c r="AG43" s="195"/>
      <c r="AH43" s="195"/>
      <c r="AI43" s="195"/>
      <c r="AJ43" s="195"/>
      <c r="AK43" s="195"/>
      <c r="AL43" s="195"/>
      <c r="AM43" s="195"/>
      <c r="AN43" s="195"/>
      <c r="AO43" s="195"/>
      <c r="AP43" s="195"/>
      <c r="AQ43" s="195"/>
      <c r="AR43" s="195"/>
      <c r="AS43" s="195"/>
      <c r="AT43" s="195"/>
    </row>
    <row r="44" spans="2:66" ht="15" hidden="1">
      <c r="B44" s="180" t="s">
        <v>508</v>
      </c>
      <c r="C44" s="165">
        <f>C43*'Revenues from REFERENCE Rates'!C35</f>
        <v>294640</v>
      </c>
      <c r="D44" s="165">
        <f>D43*'Revenues from REFERENCE Rates'!D35</f>
        <v>784020</v>
      </c>
      <c r="E44" s="165">
        <f>E43*'Revenues from REFERENCE Rates'!E35</f>
        <v>1467450</v>
      </c>
      <c r="F44" s="165">
        <f>F43*'Revenues from REFERENCE Rates'!F35</f>
        <v>1768625</v>
      </c>
      <c r="G44" s="165">
        <f>G43*'Revenues from REFERENCE Rates'!G35</f>
        <v>1744065</v>
      </c>
      <c r="H44" s="165">
        <f>H43*'Revenues from REFERENCE Rates'!H35</f>
        <v>1513627.5</v>
      </c>
      <c r="I44" s="165">
        <f>I43*'Revenues from REFERENCE Rates'!I35</f>
        <v>1203100</v>
      </c>
      <c r="J44" s="165">
        <f>J43*'Revenues from REFERENCE Rates'!J35</f>
        <v>887917.5</v>
      </c>
      <c r="K44" s="165">
        <f>K43*'Revenues from REFERENCE Rates'!K35</f>
        <v>652075</v>
      </c>
      <c r="L44" s="165">
        <f>L43*'Revenues from REFERENCE Rates'!L35</f>
        <v>501022.5</v>
      </c>
      <c r="M44" s="165">
        <f>M43*'Revenues from REFERENCE Rates'!M35</f>
        <v>388620</v>
      </c>
      <c r="N44" s="165">
        <f>N43*'Revenues from REFERENCE Rates'!N35</f>
        <v>289997.5</v>
      </c>
      <c r="O44" s="165">
        <f>O43*'Revenues from REFERENCE Rates'!O35</f>
        <v>246260</v>
      </c>
      <c r="P44" s="165">
        <f>P43*'Revenues from REFERENCE Rates'!P35</f>
        <v>179100</v>
      </c>
      <c r="Q44" s="165">
        <f>Q43*'Revenues from REFERENCE Rates'!Q35</f>
        <v>187520</v>
      </c>
      <c r="R44" s="165">
        <f>R43*'Revenues from REFERENCE Rates'!R35</f>
        <v>158355</v>
      </c>
      <c r="S44" s="165">
        <f>S43*'Revenues from REFERENCE Rates'!S35</f>
        <v>94005</v>
      </c>
      <c r="T44" s="165">
        <f>T43*'Revenues from REFERENCE Rates'!T35</f>
        <v>115472.5</v>
      </c>
      <c r="U44" s="165">
        <f>U43*'Revenues from REFERENCE Rates'!U35</f>
        <v>118450</v>
      </c>
      <c r="V44" s="165">
        <f>V43*'Revenues from REFERENCE Rates'!V35</f>
        <v>139177.5</v>
      </c>
      <c r="W44" s="165">
        <f>W43*'Revenues from REFERENCE Rates'!W35</f>
        <v>75900</v>
      </c>
      <c r="X44" s="165">
        <f>X43*'Revenues from REFERENCE Rates'!X35</f>
        <v>58880</v>
      </c>
      <c r="Y44" s="165">
        <f>Y43*'Revenues from REFERENCE Rates'!Y35</f>
        <v>62040</v>
      </c>
      <c r="Z44" s="165">
        <f>Z43*'Revenues from REFERENCE Rates'!Z35</f>
        <v>64000</v>
      </c>
      <c r="AA44" s="165">
        <f>AA43*'Revenues from REFERENCE Rates'!AA35</f>
        <v>76050</v>
      </c>
      <c r="AB44" s="165">
        <f>AB43*'Revenues from REFERENCE Rates'!AB35</f>
        <v>99697.5</v>
      </c>
      <c r="AC44" s="175">
        <f>AC43*'Revenues from REFERENCE Rates'!AC35</f>
        <v>535867.5</v>
      </c>
      <c r="AD44" s="195"/>
      <c r="AE44" s="195"/>
      <c r="AF44" s="195"/>
      <c r="AG44" s="195"/>
      <c r="AH44" s="195"/>
      <c r="AI44" s="195"/>
      <c r="AJ44" s="195"/>
      <c r="AK44" s="195"/>
      <c r="AL44" s="195"/>
      <c r="AM44" s="195"/>
      <c r="AN44" s="195"/>
      <c r="AO44" s="195"/>
      <c r="AP44" s="195"/>
      <c r="AQ44" s="195"/>
      <c r="AR44" s="195"/>
      <c r="AS44" s="195"/>
      <c r="AT44" s="195"/>
    </row>
    <row r="45" spans="2:66" ht="15" hidden="1">
      <c r="B45" s="180" t="s">
        <v>305</v>
      </c>
      <c r="C45" s="165">
        <f>C43*'Revenues from REFERENCE Rates'!$C$35</f>
        <v>294640</v>
      </c>
      <c r="D45" s="165">
        <f>D43*'Revenues from REFERENCE Rates'!$C$35</f>
        <v>522680</v>
      </c>
      <c r="E45" s="165">
        <f>E43*'Revenues from REFERENCE Rates'!$C$35</f>
        <v>733725</v>
      </c>
      <c r="F45" s="165">
        <f>F43*'Revenues from REFERENCE Rates'!$C$35</f>
        <v>707450</v>
      </c>
      <c r="G45" s="165">
        <f>G43*'Revenues from REFERENCE Rates'!$C$35</f>
        <v>581355</v>
      </c>
      <c r="H45" s="165">
        <f>H43*'Revenues from REFERENCE Rates'!$C$35</f>
        <v>432465</v>
      </c>
      <c r="I45" s="165">
        <f>I43*'Revenues from REFERENCE Rates'!$C$35</f>
        <v>300775</v>
      </c>
      <c r="J45" s="165">
        <f>J43*'Revenues from REFERENCE Rates'!$C$35</f>
        <v>197315</v>
      </c>
      <c r="K45" s="165">
        <f>K43*'Revenues from REFERENCE Rates'!$C$35</f>
        <v>130415</v>
      </c>
      <c r="L45" s="165">
        <f>L43*'Revenues from REFERENCE Rates'!$C$35</f>
        <v>91095</v>
      </c>
      <c r="M45" s="165">
        <f>M43*'Revenues from REFERENCE Rates'!$C$35</f>
        <v>64770</v>
      </c>
      <c r="N45" s="165">
        <f>N43*'Revenues from REFERENCE Rates'!$C$35</f>
        <v>44615</v>
      </c>
      <c r="O45" s="165">
        <f>O43*'Revenues from REFERENCE Rates'!$C$35</f>
        <v>35180</v>
      </c>
      <c r="P45" s="165">
        <f>P43*'Revenues from REFERENCE Rates'!$C$35</f>
        <v>23880</v>
      </c>
      <c r="Q45" s="165">
        <f>Q43*'Revenues from REFERENCE Rates'!$C$35</f>
        <v>23440</v>
      </c>
      <c r="R45" s="165">
        <f>R43*'Revenues from REFERENCE Rates'!$C$35</f>
        <v>18630</v>
      </c>
      <c r="S45" s="165">
        <f>S43*'Revenues from REFERENCE Rates'!$C$35</f>
        <v>10445</v>
      </c>
      <c r="T45" s="165">
        <f>T43*'Revenues from REFERENCE Rates'!$C$35</f>
        <v>12155</v>
      </c>
      <c r="U45" s="165">
        <f>U43*'Revenues from REFERENCE Rates'!$C$35</f>
        <v>11845</v>
      </c>
      <c r="V45" s="165">
        <f>V43*'Revenues from REFERENCE Rates'!$C$35</f>
        <v>13255</v>
      </c>
      <c r="W45" s="165">
        <f>W43*'Revenues from REFERENCE Rates'!$C$35</f>
        <v>6900</v>
      </c>
      <c r="X45" s="165">
        <f>X43*'Revenues from REFERENCE Rates'!$C$35</f>
        <v>5120</v>
      </c>
      <c r="Y45" s="165">
        <f>Y43*'Revenues from REFERENCE Rates'!$C$35</f>
        <v>5170</v>
      </c>
      <c r="Z45" s="165">
        <f>Z43*'Revenues from REFERENCE Rates'!$C$35</f>
        <v>5120</v>
      </c>
      <c r="AA45" s="165">
        <f>AA43*'Revenues from REFERENCE Rates'!$C$35</f>
        <v>5850</v>
      </c>
      <c r="AB45" s="165">
        <f>AB43*'Revenues from REFERENCE Rates'!$C$35</f>
        <v>7385</v>
      </c>
      <c r="AC45" s="175">
        <f>AC43*'Revenues from REFERENCE Rates'!$C$35</f>
        <v>36330</v>
      </c>
      <c r="AD45" s="203"/>
      <c r="AE45" s="203"/>
      <c r="AF45" s="203"/>
      <c r="AG45" s="203"/>
      <c r="AH45" s="203"/>
      <c r="AI45" s="203"/>
      <c r="AJ45" s="203"/>
      <c r="AK45" s="203"/>
      <c r="AL45" s="203"/>
      <c r="AM45" s="203"/>
      <c r="AN45" s="203"/>
      <c r="AO45" s="203"/>
      <c r="AP45" s="203"/>
      <c r="AQ45" s="203"/>
      <c r="AR45" s="203"/>
      <c r="AS45" s="203"/>
      <c r="AT45" s="203"/>
      <c r="AU45" s="194"/>
      <c r="AV45" s="194"/>
      <c r="AW45" s="194"/>
      <c r="AX45" s="194"/>
      <c r="AY45" s="194"/>
      <c r="AZ45" s="194"/>
      <c r="BA45" s="194"/>
    </row>
    <row r="46" spans="2:66" ht="15.75" hidden="1" thickBot="1">
      <c r="B46" s="180" t="s">
        <v>306</v>
      </c>
      <c r="C46" s="165">
        <f>C44-C45</f>
        <v>0</v>
      </c>
      <c r="D46" s="165">
        <f t="shared" ref="D46:AC46" si="4">D44-D45</f>
        <v>261340</v>
      </c>
      <c r="E46" s="165">
        <f t="shared" si="4"/>
        <v>733725</v>
      </c>
      <c r="F46" s="165">
        <f t="shared" si="4"/>
        <v>1061175</v>
      </c>
      <c r="G46" s="165">
        <f t="shared" si="4"/>
        <v>1162710</v>
      </c>
      <c r="H46" s="165">
        <f t="shared" si="4"/>
        <v>1081162.5</v>
      </c>
      <c r="I46" s="165">
        <f t="shared" si="4"/>
        <v>902325</v>
      </c>
      <c r="J46" s="176">
        <f t="shared" si="4"/>
        <v>690602.5</v>
      </c>
      <c r="K46" s="176">
        <f t="shared" si="4"/>
        <v>521660</v>
      </c>
      <c r="L46" s="176">
        <f t="shared" si="4"/>
        <v>409927.5</v>
      </c>
      <c r="M46" s="176">
        <f t="shared" si="4"/>
        <v>323850</v>
      </c>
      <c r="N46" s="176">
        <f t="shared" si="4"/>
        <v>245382.5</v>
      </c>
      <c r="O46" s="176">
        <f t="shared" si="4"/>
        <v>211080</v>
      </c>
      <c r="P46" s="176">
        <f t="shared" si="4"/>
        <v>155220</v>
      </c>
      <c r="Q46" s="176">
        <f t="shared" si="4"/>
        <v>164080</v>
      </c>
      <c r="R46" s="176">
        <f t="shared" si="4"/>
        <v>139725</v>
      </c>
      <c r="S46" s="176">
        <f t="shared" si="4"/>
        <v>83560</v>
      </c>
      <c r="T46" s="176">
        <f t="shared" si="4"/>
        <v>103317.5</v>
      </c>
      <c r="U46" s="176">
        <f t="shared" si="4"/>
        <v>106605</v>
      </c>
      <c r="V46" s="176">
        <f t="shared" si="4"/>
        <v>125922.5</v>
      </c>
      <c r="W46" s="176">
        <f t="shared" si="4"/>
        <v>69000</v>
      </c>
      <c r="X46" s="176">
        <f t="shared" si="4"/>
        <v>53760</v>
      </c>
      <c r="Y46" s="176">
        <f t="shared" si="4"/>
        <v>56870</v>
      </c>
      <c r="Z46" s="176">
        <f t="shared" si="4"/>
        <v>58880</v>
      </c>
      <c r="AA46" s="176">
        <f t="shared" si="4"/>
        <v>70200</v>
      </c>
      <c r="AB46" s="176">
        <f t="shared" si="4"/>
        <v>92312.5</v>
      </c>
      <c r="AC46" s="177">
        <f t="shared" si="4"/>
        <v>499537.5</v>
      </c>
      <c r="AD46" s="195"/>
      <c r="AE46" s="195"/>
      <c r="AF46" s="195"/>
      <c r="AG46" s="195"/>
      <c r="AH46" s="195"/>
      <c r="AI46" s="195"/>
      <c r="AJ46" s="195"/>
      <c r="AK46" s="195"/>
      <c r="AL46" s="195"/>
      <c r="AM46" s="195"/>
      <c r="AN46" s="195"/>
      <c r="AO46" s="195"/>
      <c r="AP46" s="195"/>
      <c r="AQ46" s="195"/>
      <c r="AR46" s="195"/>
      <c r="AS46" s="195"/>
      <c r="AT46" s="195"/>
    </row>
    <row r="47" spans="2:66" ht="15">
      <c r="B47" s="915"/>
      <c r="C47" s="906"/>
      <c r="D47" s="906"/>
      <c r="E47" s="906"/>
      <c r="F47" s="906"/>
      <c r="G47" s="906"/>
      <c r="H47" s="906"/>
      <c r="I47" s="907"/>
      <c r="J47" s="133"/>
      <c r="K47" s="133"/>
      <c r="L47" s="133"/>
      <c r="M47" s="133"/>
      <c r="N47" s="133"/>
      <c r="O47" s="133"/>
      <c r="P47" s="133"/>
      <c r="Q47" s="133"/>
      <c r="R47" s="133"/>
      <c r="S47" s="133"/>
      <c r="T47" s="133"/>
      <c r="U47" s="133"/>
      <c r="V47" s="133"/>
      <c r="W47" s="133"/>
      <c r="X47" s="133"/>
      <c r="Y47" s="133"/>
      <c r="Z47" s="133"/>
      <c r="AA47" s="133"/>
      <c r="AB47" s="133"/>
      <c r="AC47" s="133"/>
      <c r="AD47" s="195"/>
      <c r="AE47" s="195"/>
      <c r="AF47" s="195"/>
      <c r="AG47" s="195"/>
      <c r="AH47" s="195"/>
      <c r="AI47" s="195"/>
      <c r="AJ47" s="195"/>
      <c r="AK47" s="195"/>
      <c r="AL47" s="195"/>
      <c r="AM47" s="195"/>
      <c r="AN47" s="195"/>
      <c r="AO47" s="195"/>
      <c r="AP47" s="195"/>
      <c r="AQ47" s="195"/>
      <c r="AR47" s="195"/>
      <c r="AS47" s="195"/>
      <c r="AT47" s="195"/>
    </row>
    <row r="48" spans="2:66" ht="15">
      <c r="B48" s="913"/>
      <c r="C48" s="904"/>
      <c r="D48" s="904"/>
      <c r="E48" s="904"/>
      <c r="F48" s="904"/>
      <c r="G48" s="904"/>
      <c r="H48" s="904"/>
      <c r="I48" s="905"/>
      <c r="J48" s="133"/>
      <c r="K48" s="133"/>
      <c r="L48" s="133"/>
      <c r="M48" s="133"/>
      <c r="N48" s="133"/>
      <c r="O48" s="133"/>
      <c r="P48" s="133"/>
      <c r="Q48" s="133"/>
      <c r="R48" s="133"/>
      <c r="S48" s="133"/>
      <c r="T48" s="133"/>
      <c r="U48" s="133"/>
      <c r="V48" s="133"/>
      <c r="W48" s="133"/>
      <c r="X48" s="133"/>
      <c r="Y48" s="133"/>
      <c r="Z48" s="133"/>
      <c r="AA48" s="133"/>
      <c r="AB48" s="133"/>
      <c r="AC48" s="133"/>
      <c r="AD48" s="195"/>
      <c r="AE48" s="195"/>
      <c r="AF48" s="195"/>
      <c r="AG48" s="195"/>
      <c r="AH48" s="195"/>
      <c r="AI48" s="195"/>
      <c r="AJ48" s="195"/>
      <c r="AK48" s="195"/>
      <c r="AL48" s="195"/>
      <c r="AM48" s="195"/>
      <c r="AN48" s="195"/>
      <c r="AO48" s="195"/>
      <c r="AP48" s="195"/>
      <c r="AQ48" s="195"/>
      <c r="AR48" s="195"/>
      <c r="AS48" s="195"/>
      <c r="AT48" s="195"/>
    </row>
    <row r="49" spans="2:66" ht="15">
      <c r="B49" s="913"/>
      <c r="C49" s="904"/>
      <c r="D49" s="904"/>
      <c r="E49" s="904"/>
      <c r="F49" s="904"/>
      <c r="G49" s="904"/>
      <c r="H49" s="904"/>
      <c r="I49" s="905"/>
      <c r="J49" s="133"/>
      <c r="K49" s="133"/>
      <c r="L49" s="133"/>
      <c r="M49" s="133"/>
      <c r="N49" s="133"/>
      <c r="O49" s="133"/>
      <c r="P49" s="133"/>
      <c r="Q49" s="133"/>
      <c r="R49" s="133"/>
      <c r="S49" s="133"/>
      <c r="T49" s="133"/>
      <c r="U49" s="133"/>
      <c r="V49" s="133"/>
      <c r="W49" s="133"/>
      <c r="X49" s="133"/>
      <c r="Y49" s="133"/>
      <c r="Z49" s="133"/>
      <c r="AA49" s="133"/>
      <c r="AB49" s="133"/>
      <c r="AC49" s="133"/>
      <c r="AD49" s="195"/>
      <c r="AE49" s="195"/>
      <c r="AF49" s="195"/>
      <c r="AG49" s="195"/>
      <c r="AH49" s="195"/>
      <c r="AI49" s="195"/>
      <c r="AJ49" s="195"/>
      <c r="AK49" s="195"/>
      <c r="AL49" s="195"/>
      <c r="AM49" s="195"/>
      <c r="AN49" s="195"/>
      <c r="AO49" s="195"/>
      <c r="AP49" s="195"/>
      <c r="AQ49" s="195"/>
      <c r="AR49" s="195"/>
      <c r="AS49" s="195"/>
      <c r="AT49" s="195"/>
    </row>
    <row r="50" spans="2:66" ht="15">
      <c r="B50" s="913"/>
      <c r="C50" s="904"/>
      <c r="D50" s="904"/>
      <c r="E50" s="904"/>
      <c r="F50" s="904"/>
      <c r="G50" s="904"/>
      <c r="H50" s="904"/>
      <c r="I50" s="905"/>
      <c r="J50" s="133"/>
      <c r="K50" s="133"/>
      <c r="L50" s="133"/>
      <c r="M50" s="133"/>
      <c r="N50" s="133"/>
      <c r="O50" s="133"/>
      <c r="P50" s="133"/>
      <c r="Q50" s="133"/>
      <c r="R50" s="133"/>
      <c r="S50" s="133"/>
      <c r="T50" s="133"/>
      <c r="U50" s="133"/>
      <c r="V50" s="133"/>
      <c r="W50" s="133"/>
      <c r="X50" s="133"/>
      <c r="Y50" s="133"/>
      <c r="Z50" s="133"/>
      <c r="AA50" s="133"/>
      <c r="AB50" s="133"/>
      <c r="AC50" s="133"/>
      <c r="AD50" s="195"/>
      <c r="AE50" s="195"/>
      <c r="AF50" s="195"/>
      <c r="AG50" s="195"/>
      <c r="AH50" s="195"/>
      <c r="AI50" s="195"/>
      <c r="AJ50" s="195"/>
      <c r="AK50" s="195"/>
      <c r="AL50" s="195"/>
      <c r="AM50" s="195"/>
      <c r="AN50" s="195"/>
      <c r="AO50" s="195"/>
      <c r="AP50" s="195"/>
      <c r="AQ50" s="195"/>
      <c r="AR50" s="195"/>
      <c r="AS50" s="195"/>
      <c r="AT50" s="195"/>
    </row>
    <row r="51" spans="2:66" ht="15">
      <c r="B51" s="913"/>
      <c r="C51" s="904"/>
      <c r="D51" s="904"/>
      <c r="E51" s="904"/>
      <c r="F51" s="904"/>
      <c r="G51" s="904"/>
      <c r="H51" s="904"/>
      <c r="I51" s="905"/>
      <c r="J51" s="133"/>
      <c r="K51" s="133"/>
      <c r="L51" s="133"/>
      <c r="M51" s="133"/>
      <c r="N51" s="133"/>
      <c r="O51" s="133"/>
      <c r="P51" s="133"/>
      <c r="Q51" s="133"/>
      <c r="R51" s="133"/>
      <c r="S51" s="133"/>
      <c r="T51" s="133"/>
      <c r="U51" s="133"/>
      <c r="V51" s="133"/>
      <c r="W51" s="133"/>
      <c r="X51" s="133"/>
      <c r="Y51" s="133"/>
      <c r="Z51" s="133"/>
      <c r="AA51" s="133"/>
      <c r="AB51" s="133"/>
      <c r="AC51" s="133"/>
      <c r="AD51" s="195"/>
      <c r="AE51" s="195"/>
      <c r="AF51" s="195"/>
      <c r="AG51" s="195"/>
      <c r="AH51" s="195"/>
      <c r="AI51" s="195"/>
      <c r="AJ51" s="195"/>
      <c r="AK51" s="195"/>
      <c r="AL51" s="195"/>
      <c r="AM51" s="195"/>
      <c r="AN51" s="195"/>
      <c r="AO51" s="195"/>
      <c r="AP51" s="195"/>
      <c r="AQ51" s="195"/>
      <c r="AR51" s="195"/>
      <c r="AS51" s="195"/>
      <c r="AT51" s="195"/>
    </row>
    <row r="52" spans="2:66" ht="15">
      <c r="B52" s="913"/>
      <c r="C52" s="904"/>
      <c r="D52" s="904"/>
      <c r="E52" s="904"/>
      <c r="F52" s="904"/>
      <c r="G52" s="904"/>
      <c r="H52" s="904"/>
      <c r="I52" s="905"/>
      <c r="J52" s="133"/>
      <c r="K52" s="133"/>
      <c r="L52" s="133"/>
      <c r="M52" s="133"/>
      <c r="N52" s="133"/>
      <c r="O52" s="133"/>
      <c r="P52" s="133"/>
      <c r="Q52" s="133"/>
      <c r="R52" s="133"/>
      <c r="S52" s="133"/>
      <c r="T52" s="133"/>
      <c r="U52" s="133"/>
      <c r="V52" s="133"/>
      <c r="W52" s="133"/>
      <c r="X52" s="133"/>
      <c r="Y52" s="133"/>
      <c r="Z52" s="133"/>
      <c r="AA52" s="133"/>
      <c r="AB52" s="133"/>
      <c r="AC52" s="133"/>
      <c r="AD52" s="195"/>
      <c r="AE52" s="195"/>
      <c r="AF52" s="195"/>
      <c r="AG52" s="195"/>
      <c r="AH52" s="195"/>
      <c r="AI52" s="195"/>
      <c r="AJ52" s="195"/>
      <c r="AK52" s="195"/>
      <c r="AL52" s="195"/>
      <c r="AM52" s="195"/>
      <c r="AN52" s="195"/>
      <c r="AO52" s="195"/>
      <c r="AP52" s="195"/>
      <c r="AQ52" s="195"/>
      <c r="AR52" s="195"/>
      <c r="AS52" s="195"/>
      <c r="AT52" s="195"/>
    </row>
    <row r="53" spans="2:66" ht="15">
      <c r="B53" s="913"/>
      <c r="C53" s="904"/>
      <c r="D53" s="904"/>
      <c r="E53" s="904"/>
      <c r="F53" s="904"/>
      <c r="G53" s="904"/>
      <c r="H53" s="904"/>
      <c r="I53" s="905"/>
      <c r="J53" s="133"/>
      <c r="K53" s="133"/>
      <c r="L53" s="133"/>
      <c r="M53" s="133"/>
      <c r="N53" s="133"/>
      <c r="O53" s="133"/>
      <c r="P53" s="133"/>
      <c r="Q53" s="133"/>
      <c r="R53" s="133"/>
      <c r="S53" s="133"/>
      <c r="T53" s="133"/>
      <c r="U53" s="133"/>
      <c r="V53" s="133"/>
      <c r="W53" s="133"/>
      <c r="X53" s="133"/>
      <c r="Y53" s="133"/>
      <c r="Z53" s="133"/>
      <c r="AA53" s="133"/>
      <c r="AB53" s="133"/>
      <c r="AC53" s="133"/>
      <c r="AD53" s="195"/>
      <c r="AE53" s="195"/>
      <c r="AF53" s="195"/>
      <c r="AG53" s="195"/>
      <c r="AH53" s="195"/>
      <c r="AI53" s="195"/>
      <c r="AJ53" s="195"/>
      <c r="AK53" s="195"/>
      <c r="AL53" s="195"/>
      <c r="AM53" s="195"/>
      <c r="AN53" s="195"/>
      <c r="AO53" s="195"/>
      <c r="AP53" s="195"/>
      <c r="AQ53" s="195"/>
      <c r="AR53" s="195"/>
      <c r="AS53" s="195"/>
      <c r="AT53" s="195"/>
    </row>
    <row r="54" spans="2:66" ht="14.25">
      <c r="B54" s="914" t="str">
        <f>"Projected profile that results in "&amp;ROUND(-$D$30*100,0)&amp;"% reduction in average residential water use"</f>
        <v>Projected profile that results in 15% reduction in average residential water use</v>
      </c>
      <c r="C54" s="904"/>
      <c r="D54" s="904"/>
      <c r="E54" s="904"/>
      <c r="F54" s="904"/>
      <c r="G54" s="904"/>
      <c r="H54" s="904"/>
      <c r="I54" s="905"/>
      <c r="J54" s="133"/>
      <c r="K54" s="133"/>
      <c r="L54" s="133"/>
      <c r="M54" s="133"/>
      <c r="N54" s="133"/>
      <c r="O54" s="133"/>
      <c r="P54" s="133"/>
      <c r="Q54" s="133"/>
      <c r="R54" s="133"/>
      <c r="S54" s="133"/>
      <c r="T54" s="133"/>
      <c r="U54" s="133"/>
      <c r="V54" s="133"/>
      <c r="W54" s="133"/>
      <c r="X54" s="133"/>
      <c r="Y54" s="133"/>
      <c r="Z54" s="133"/>
      <c r="AA54" s="133"/>
      <c r="AB54" s="133"/>
      <c r="AC54" s="133"/>
      <c r="AD54" s="195"/>
      <c r="AE54" s="195"/>
      <c r="AF54" s="195"/>
      <c r="AG54" s="195"/>
      <c r="AH54" s="195"/>
      <c r="AI54" s="195"/>
      <c r="AJ54" s="195"/>
      <c r="AK54" s="195"/>
      <c r="AL54" s="195"/>
      <c r="AM54" s="195"/>
      <c r="AN54" s="195"/>
      <c r="AO54" s="195"/>
      <c r="AP54" s="195"/>
      <c r="AQ54" s="195"/>
      <c r="AR54" s="195"/>
      <c r="AS54" s="195"/>
      <c r="AT54" s="195"/>
    </row>
    <row r="55" spans="2:66" ht="15">
      <c r="B55" s="913"/>
      <c r="C55" s="904"/>
      <c r="D55" s="904"/>
      <c r="E55" s="904"/>
      <c r="F55" s="904"/>
      <c r="G55" s="904"/>
      <c r="H55" s="904"/>
      <c r="I55" s="905"/>
      <c r="J55" s="133"/>
      <c r="K55" s="133"/>
      <c r="L55" s="133"/>
      <c r="M55" s="133"/>
      <c r="N55" s="133"/>
      <c r="O55" s="133"/>
      <c r="P55" s="133"/>
      <c r="Q55" s="133"/>
      <c r="R55" s="133"/>
      <c r="S55" s="133"/>
      <c r="T55" s="133"/>
      <c r="U55" s="133"/>
      <c r="V55" s="133"/>
      <c r="W55" s="133"/>
      <c r="X55" s="133"/>
      <c r="Y55" s="133"/>
      <c r="Z55" s="133"/>
      <c r="AA55" s="133"/>
      <c r="AB55" s="133"/>
      <c r="AC55" s="133"/>
      <c r="AD55" s="195"/>
      <c r="AE55" s="195"/>
      <c r="AF55" s="195"/>
      <c r="AG55" s="195"/>
      <c r="AH55" s="195"/>
      <c r="AI55" s="195"/>
      <c r="AJ55" s="195"/>
      <c r="AK55" s="195"/>
      <c r="AL55" s="195"/>
      <c r="AM55" s="195"/>
      <c r="AN55" s="195"/>
      <c r="AO55" s="195"/>
      <c r="AP55" s="195"/>
      <c r="AQ55" s="195"/>
      <c r="AR55" s="195"/>
      <c r="AS55" s="195"/>
      <c r="AT55" s="195"/>
    </row>
    <row r="56" spans="2:66" ht="15">
      <c r="B56" s="913"/>
      <c r="C56" s="904"/>
      <c r="D56" s="904"/>
      <c r="E56" s="904"/>
      <c r="F56" s="904"/>
      <c r="G56" s="904"/>
      <c r="H56" s="904"/>
      <c r="I56" s="905"/>
      <c r="J56" s="133"/>
      <c r="K56" s="133"/>
      <c r="L56" s="133"/>
      <c r="M56" s="133"/>
      <c r="N56" s="133"/>
      <c r="O56" s="133"/>
      <c r="P56" s="133"/>
      <c r="Q56" s="133"/>
      <c r="R56" s="133"/>
      <c r="S56" s="133"/>
      <c r="T56" s="133"/>
      <c r="U56" s="133"/>
      <c r="V56" s="133"/>
      <c r="W56" s="133"/>
      <c r="X56" s="133"/>
      <c r="Y56" s="133"/>
      <c r="Z56" s="133"/>
      <c r="AA56" s="133"/>
      <c r="AB56" s="133"/>
      <c r="AC56" s="133"/>
      <c r="AD56" s="195"/>
      <c r="AE56" s="195"/>
      <c r="AF56" s="195"/>
      <c r="AG56" s="195"/>
      <c r="AH56" s="195"/>
      <c r="AI56" s="195"/>
      <c r="AJ56" s="195"/>
      <c r="AK56" s="195"/>
      <c r="AL56" s="195"/>
      <c r="AM56" s="195"/>
      <c r="AN56" s="195"/>
      <c r="AO56" s="195"/>
      <c r="AP56" s="195"/>
      <c r="AQ56" s="195"/>
      <c r="AR56" s="195"/>
      <c r="AS56" s="195"/>
      <c r="AT56" s="195"/>
    </row>
    <row r="57" spans="2:66" ht="15">
      <c r="B57" s="913"/>
      <c r="C57" s="904"/>
      <c r="D57" s="904"/>
      <c r="E57" s="904"/>
      <c r="F57" s="904"/>
      <c r="G57" s="904"/>
      <c r="H57" s="904"/>
      <c r="I57" s="905"/>
      <c r="J57" s="133"/>
      <c r="K57" s="133"/>
      <c r="L57" s="133"/>
      <c r="M57" s="133"/>
      <c r="N57" s="133"/>
      <c r="O57" s="133"/>
      <c r="P57" s="133"/>
      <c r="Q57" s="133"/>
      <c r="R57" s="133"/>
      <c r="S57" s="133"/>
      <c r="T57" s="133"/>
      <c r="U57" s="133"/>
      <c r="V57" s="133"/>
      <c r="W57" s="133"/>
      <c r="X57" s="133"/>
      <c r="Y57" s="133"/>
      <c r="Z57" s="133"/>
      <c r="AA57" s="133"/>
      <c r="AB57" s="133"/>
      <c r="AC57" s="133"/>
      <c r="AD57" s="195"/>
      <c r="AE57" s="195"/>
      <c r="AF57" s="195"/>
      <c r="AG57" s="195"/>
      <c r="AH57" s="195"/>
      <c r="AI57" s="195"/>
      <c r="AJ57" s="195"/>
      <c r="AK57" s="195"/>
      <c r="AL57" s="195"/>
      <c r="AM57" s="195"/>
      <c r="AN57" s="195"/>
      <c r="AO57" s="195"/>
      <c r="AP57" s="195"/>
      <c r="AQ57" s="195"/>
      <c r="AR57" s="195"/>
      <c r="AS57" s="195"/>
      <c r="AT57" s="195"/>
    </row>
    <row r="58" spans="2:66" ht="15">
      <c r="B58" s="913"/>
      <c r="C58" s="904"/>
      <c r="D58" s="904"/>
      <c r="E58" s="904"/>
      <c r="F58" s="904"/>
      <c r="G58" s="904"/>
      <c r="H58" s="904"/>
      <c r="I58" s="905"/>
      <c r="J58" s="133"/>
      <c r="K58" s="133"/>
      <c r="L58" s="133"/>
      <c r="M58" s="133"/>
      <c r="N58" s="133"/>
      <c r="O58" s="133"/>
      <c r="P58" s="133"/>
      <c r="Q58" s="133"/>
      <c r="R58" s="133"/>
      <c r="S58" s="133"/>
      <c r="T58" s="133"/>
      <c r="U58" s="133"/>
      <c r="V58" s="133"/>
      <c r="W58" s="133"/>
      <c r="X58" s="133"/>
      <c r="Y58" s="133"/>
      <c r="Z58" s="133"/>
      <c r="AA58" s="133"/>
      <c r="AB58" s="133"/>
      <c r="AC58" s="133"/>
      <c r="AD58" s="195"/>
      <c r="AE58" s="195"/>
      <c r="AF58" s="195"/>
      <c r="AG58" s="195"/>
      <c r="AH58" s="195"/>
      <c r="AI58" s="195"/>
      <c r="AJ58" s="195"/>
      <c r="AK58" s="195"/>
      <c r="AL58" s="195"/>
      <c r="AM58" s="195"/>
      <c r="AN58" s="195"/>
      <c r="AO58" s="195"/>
      <c r="AP58" s="195"/>
      <c r="AQ58" s="195"/>
      <c r="AR58" s="195"/>
      <c r="AS58" s="195"/>
      <c r="AT58" s="195"/>
    </row>
    <row r="59" spans="2:66" ht="15">
      <c r="B59" s="913"/>
      <c r="C59" s="904"/>
      <c r="D59" s="904"/>
      <c r="E59" s="904"/>
      <c r="F59" s="904"/>
      <c r="G59" s="904"/>
      <c r="H59" s="904"/>
      <c r="I59" s="905"/>
      <c r="J59" s="133"/>
      <c r="K59" s="133"/>
      <c r="L59" s="133"/>
      <c r="M59" s="133"/>
      <c r="N59" s="133"/>
      <c r="O59" s="133"/>
      <c r="P59" s="133"/>
      <c r="Q59" s="133"/>
      <c r="R59" s="133"/>
      <c r="S59" s="133"/>
      <c r="T59" s="133"/>
      <c r="U59" s="133"/>
      <c r="V59" s="133"/>
      <c r="W59" s="133"/>
      <c r="X59" s="133"/>
      <c r="Y59" s="133"/>
      <c r="Z59" s="133"/>
      <c r="AA59" s="133"/>
      <c r="AB59" s="133"/>
      <c r="AC59" s="133"/>
      <c r="AD59" s="195"/>
      <c r="AE59" s="195"/>
      <c r="AF59" s="195"/>
      <c r="AG59" s="195"/>
      <c r="AH59" s="195"/>
      <c r="AI59" s="195"/>
      <c r="AJ59" s="195"/>
      <c r="AK59" s="195"/>
      <c r="AL59" s="195"/>
      <c r="AM59" s="195"/>
      <c r="AN59" s="195"/>
      <c r="AO59" s="195"/>
      <c r="AP59" s="195"/>
      <c r="AQ59" s="195"/>
      <c r="AR59" s="195"/>
      <c r="AS59" s="195"/>
      <c r="AT59" s="195"/>
    </row>
    <row r="60" spans="2:66" ht="15">
      <c r="B60" s="913"/>
      <c r="C60" s="904"/>
      <c r="D60" s="904"/>
      <c r="E60" s="904"/>
      <c r="F60" s="904"/>
      <c r="G60" s="904"/>
      <c r="H60" s="904"/>
      <c r="I60" s="905"/>
      <c r="J60" s="133"/>
      <c r="K60" s="133"/>
      <c r="L60" s="133"/>
      <c r="M60" s="133"/>
      <c r="N60" s="133"/>
      <c r="O60" s="133"/>
      <c r="P60" s="133"/>
      <c r="Q60" s="133"/>
      <c r="R60" s="133"/>
      <c r="S60" s="133"/>
      <c r="T60" s="133"/>
      <c r="U60" s="133"/>
      <c r="V60" s="133"/>
      <c r="W60" s="133"/>
      <c r="X60" s="133"/>
      <c r="Y60" s="133"/>
      <c r="Z60" s="133"/>
      <c r="AA60" s="133"/>
      <c r="AB60" s="133"/>
      <c r="AC60" s="133"/>
      <c r="AD60" s="195"/>
      <c r="AE60" s="195"/>
      <c r="AF60" s="195"/>
      <c r="AG60" s="195"/>
      <c r="AH60" s="195"/>
      <c r="AI60" s="195"/>
      <c r="AJ60" s="195"/>
      <c r="AK60" s="195"/>
      <c r="AL60" s="195"/>
      <c r="AM60" s="195"/>
      <c r="AN60" s="195"/>
      <c r="AO60" s="195"/>
      <c r="AP60" s="195"/>
      <c r="AQ60" s="195"/>
      <c r="AR60" s="195"/>
      <c r="AS60" s="195"/>
      <c r="AT60" s="195"/>
    </row>
    <row r="61" spans="2:66" ht="14.25">
      <c r="B61" s="812"/>
      <c r="C61" s="904"/>
      <c r="D61" s="904"/>
      <c r="E61" s="904"/>
      <c r="F61" s="904"/>
      <c r="G61" s="904"/>
      <c r="H61" s="904"/>
      <c r="I61" s="905"/>
      <c r="J61" s="133"/>
      <c r="K61" s="133"/>
      <c r="L61" s="133"/>
      <c r="M61" s="133"/>
      <c r="N61" s="133"/>
      <c r="O61" s="133"/>
      <c r="P61" s="133"/>
      <c r="Q61" s="133"/>
      <c r="R61" s="133"/>
      <c r="S61" s="133"/>
      <c r="T61" s="133"/>
      <c r="U61" s="133"/>
      <c r="V61" s="133"/>
      <c r="W61" s="133"/>
      <c r="X61" s="133"/>
      <c r="Y61" s="133"/>
      <c r="Z61" s="133"/>
      <c r="AA61" s="133"/>
      <c r="AB61" s="133"/>
      <c r="AC61" s="133"/>
      <c r="AD61" s="195"/>
      <c r="AE61" s="195"/>
      <c r="AF61" s="195"/>
      <c r="AG61" s="195"/>
      <c r="AH61" s="195"/>
      <c r="AI61" s="195"/>
      <c r="AJ61" s="195"/>
      <c r="AK61" s="195"/>
      <c r="AL61" s="195"/>
      <c r="AM61" s="195"/>
      <c r="AN61" s="195"/>
      <c r="AO61" s="195"/>
      <c r="AP61" s="195"/>
      <c r="AQ61" s="195"/>
      <c r="AR61" s="195"/>
      <c r="AS61" s="195"/>
      <c r="AT61" s="195"/>
    </row>
    <row r="62" spans="2:66" ht="16.5" thickBot="1">
      <c r="B62" s="908" t="s">
        <v>506</v>
      </c>
      <c r="C62" s="909"/>
      <c r="D62" s="909"/>
      <c r="E62" s="909"/>
      <c r="F62" s="909"/>
      <c r="G62" s="909"/>
      <c r="H62" s="909"/>
      <c r="I62" s="910"/>
      <c r="J62" s="138"/>
      <c r="K62" s="138"/>
      <c r="L62" s="138"/>
      <c r="M62" s="138"/>
      <c r="N62" s="138"/>
      <c r="O62" s="138"/>
      <c r="P62" s="138"/>
      <c r="Q62" s="138"/>
      <c r="R62" s="138"/>
      <c r="S62" s="138"/>
      <c r="T62" s="138"/>
      <c r="U62" s="138"/>
      <c r="V62" s="138"/>
      <c r="W62" s="138"/>
      <c r="X62" s="138"/>
      <c r="Y62" s="138"/>
      <c r="Z62" s="138"/>
      <c r="AA62" s="138"/>
      <c r="AB62" s="138"/>
      <c r="AC62" s="138"/>
      <c r="AD62" s="195"/>
      <c r="AE62" s="195"/>
      <c r="AF62" s="195"/>
      <c r="AG62" s="195"/>
      <c r="AH62" s="195"/>
      <c r="AI62" s="195"/>
      <c r="AJ62" s="195"/>
      <c r="AK62" s="195"/>
      <c r="AL62" s="195"/>
      <c r="AM62" s="195"/>
      <c r="AN62" s="195"/>
      <c r="AO62" s="195"/>
      <c r="AP62" s="195"/>
      <c r="AQ62" s="195"/>
      <c r="AR62" s="195"/>
      <c r="AS62" s="195"/>
      <c r="AT62" s="195"/>
    </row>
    <row r="63" spans="2:66" s="151" customFormat="1" ht="25.5" customHeight="1">
      <c r="B63" s="183" t="str">
        <f t="shared" ref="B63:AC63" si="5">B38</f>
        <v>Gallons/month:</v>
      </c>
      <c r="C63" s="706">
        <f t="shared" si="5"/>
        <v>0</v>
      </c>
      <c r="D63" s="706" t="str">
        <f t="shared" si="5"/>
        <v>1 - 1000</v>
      </c>
      <c r="E63" s="706" t="str">
        <f t="shared" si="5"/>
        <v>1001 - 2000</v>
      </c>
      <c r="F63" s="706" t="str">
        <f t="shared" si="5"/>
        <v>2001 - 3000</v>
      </c>
      <c r="G63" s="706" t="str">
        <f t="shared" si="5"/>
        <v>3001 - 4000</v>
      </c>
      <c r="H63" s="706" t="str">
        <f t="shared" si="5"/>
        <v>4001 - 5000</v>
      </c>
      <c r="I63" s="706" t="str">
        <f t="shared" si="5"/>
        <v>5001 - 6000</v>
      </c>
      <c r="J63" s="706" t="str">
        <f t="shared" si="5"/>
        <v>6001 - 7000</v>
      </c>
      <c r="K63" s="706" t="str">
        <f t="shared" si="5"/>
        <v>7001 - 8000</v>
      </c>
      <c r="L63" s="706" t="str">
        <f t="shared" si="5"/>
        <v>8001 - 9000</v>
      </c>
      <c r="M63" s="706" t="str">
        <f t="shared" si="5"/>
        <v>9001 - 10000</v>
      </c>
      <c r="N63" s="706" t="str">
        <f t="shared" si="5"/>
        <v>10001 - 11000</v>
      </c>
      <c r="O63" s="706" t="str">
        <f t="shared" si="5"/>
        <v>11001 - 12000</v>
      </c>
      <c r="P63" s="706" t="str">
        <f t="shared" si="5"/>
        <v>12001 - 13000</v>
      </c>
      <c r="Q63" s="706" t="str">
        <f t="shared" si="5"/>
        <v>13001 - 14000</v>
      </c>
      <c r="R63" s="706" t="str">
        <f t="shared" si="5"/>
        <v>14001 - 15000</v>
      </c>
      <c r="S63" s="706" t="str">
        <f t="shared" si="5"/>
        <v>15001 - 16000</v>
      </c>
      <c r="T63" s="706" t="str">
        <f t="shared" si="5"/>
        <v>16001 - 17000</v>
      </c>
      <c r="U63" s="706" t="str">
        <f t="shared" si="5"/>
        <v>17001 - 18000</v>
      </c>
      <c r="V63" s="706" t="str">
        <f t="shared" si="5"/>
        <v>18001 - 19000</v>
      </c>
      <c r="W63" s="706" t="str">
        <f t="shared" si="5"/>
        <v>19001 - 20000</v>
      </c>
      <c r="X63" s="706" t="str">
        <f t="shared" si="5"/>
        <v>20001 - 21000</v>
      </c>
      <c r="Y63" s="706" t="str">
        <f t="shared" si="5"/>
        <v>21001 - 22000</v>
      </c>
      <c r="Z63" s="706" t="str">
        <f t="shared" si="5"/>
        <v>22001 - 23000</v>
      </c>
      <c r="AA63" s="706" t="str">
        <f t="shared" si="5"/>
        <v>23001 - 24000</v>
      </c>
      <c r="AB63" s="706" t="str">
        <f t="shared" si="5"/>
        <v>24001 - 25000</v>
      </c>
      <c r="AC63" s="707" t="str">
        <f t="shared" si="5"/>
        <v>&gt;25,000</v>
      </c>
      <c r="AD63" s="200"/>
      <c r="AE63" s="200"/>
      <c r="AF63" s="200"/>
      <c r="AG63" s="200"/>
      <c r="AH63" s="200"/>
      <c r="AI63" s="200"/>
      <c r="AJ63" s="200"/>
      <c r="AK63" s="200"/>
      <c r="AL63" s="200"/>
      <c r="AM63" s="200"/>
      <c r="AN63" s="200"/>
      <c r="AO63" s="200"/>
      <c r="AP63" s="200"/>
      <c r="AQ63" s="200"/>
      <c r="AR63" s="200"/>
      <c r="AS63" s="200"/>
      <c r="AT63" s="200"/>
      <c r="AU63" s="201"/>
      <c r="AV63" s="201"/>
      <c r="AW63" s="201"/>
      <c r="AX63" s="201"/>
      <c r="AY63" s="201"/>
      <c r="AZ63" s="201"/>
      <c r="BA63" s="201"/>
      <c r="BB63" s="201"/>
      <c r="BC63" s="201"/>
      <c r="BD63" s="201"/>
      <c r="BE63" s="201"/>
      <c r="BF63" s="201"/>
      <c r="BG63" s="201"/>
      <c r="BH63" s="201"/>
      <c r="BI63" s="201"/>
      <c r="BJ63" s="201"/>
      <c r="BK63" s="201"/>
      <c r="BL63" s="201"/>
      <c r="BM63" s="201"/>
      <c r="BN63" s="201"/>
    </row>
    <row r="64" spans="2:66" ht="15">
      <c r="B64" s="180" t="s">
        <v>178</v>
      </c>
      <c r="C64" s="185">
        <f>'pred conserv percent - COMPAR'!D$39</f>
        <v>6.8311718209540531E-2</v>
      </c>
      <c r="D64" s="185">
        <f>'pred conserv percent - COMPAR'!E$39</f>
        <v>0.12187438626078514</v>
      </c>
      <c r="E64" s="185">
        <f>'pred conserv percent - COMPAR'!F$39</f>
        <v>0.17044313356730778</v>
      </c>
      <c r="F64" s="185">
        <f>'pred conserv percent - COMPAR'!G$39</f>
        <v>0.16428779652659867</v>
      </c>
      <c r="G64" s="185">
        <f>'pred conserv percent - COMPAR'!H$39</f>
        <v>0.13470520950700252</v>
      </c>
      <c r="H64" s="185">
        <f>'pred conserv percent - COMPAR'!I$39</f>
        <v>9.9821602285023861E-2</v>
      </c>
      <c r="I64" s="185">
        <f>'pred conserv percent - COMPAR'!J$39</f>
        <v>6.917151083288868E-2</v>
      </c>
      <c r="J64" s="185">
        <f>'pred conserv percent - COMPAR'!K$39</f>
        <v>4.5266229120539243E-2</v>
      </c>
      <c r="K64" s="185">
        <f>'pred conserv percent - COMPAR'!L$39</f>
        <v>2.9833000246391406E-2</v>
      </c>
      <c r="L64" s="185">
        <f>'pred conserv percent - COMPAR'!M$39</f>
        <v>2.0840411577101741E-2</v>
      </c>
      <c r="M64" s="185">
        <f>'pred conserv percent - COMPAR'!N$39</f>
        <v>1.4815910508155894E-2</v>
      </c>
      <c r="N64" s="185">
        <f>'pred conserv percent - COMPAR'!O$39</f>
        <v>1.0212248197289315E-2</v>
      </c>
      <c r="O64" s="185">
        <f>'pred conserv percent - COMPAR'!P$39</f>
        <v>8.0396399948652122E-3</v>
      </c>
      <c r="P64" s="185">
        <f>'pred conserv percent - COMPAR'!Q$39</f>
        <v>5.48745995499955E-3</v>
      </c>
      <c r="Q64" s="185">
        <f>'pred conserv percent - COMPAR'!R$39</f>
        <v>5.3636772361751114E-3</v>
      </c>
      <c r="R64" s="185">
        <f>'pred conserv percent - COMPAR'!S$39</f>
        <v>4.2440764492736325E-3</v>
      </c>
      <c r="S64" s="185">
        <f>'pred conserv percent - COMPAR'!T$39</f>
        <v>2.401346857867772E-3</v>
      </c>
      <c r="T64" s="185">
        <f>'pred conserv percent - COMPAR'!U$39</f>
        <v>2.766177294596937E-3</v>
      </c>
      <c r="U64" s="185">
        <f>'pred conserv percent - COMPAR'!V$39</f>
        <v>2.6815342935893058E-3</v>
      </c>
      <c r="V64" s="185">
        <f>'pred conserv percent - COMPAR'!W$39</f>
        <v>2.9903440784928743E-3</v>
      </c>
      <c r="W64" s="185">
        <f>'pred conserv percent - COMPAR'!X$39</f>
        <v>1.5682570704653692E-3</v>
      </c>
      <c r="X64" s="185">
        <f>'pred conserv percent - COMPAR'!Y$39</f>
        <v>1.1788956967774013E-3</v>
      </c>
      <c r="Y64" s="185">
        <f>'pred conserv percent - COMPAR'!Z$39</f>
        <v>1.188730168083031E-3</v>
      </c>
      <c r="Z64" s="185">
        <f>'pred conserv percent - COMPAR'!AA$39</f>
        <v>1.1777771241903096E-3</v>
      </c>
      <c r="AA64" s="185">
        <f>'pred conserv percent - COMPAR'!AB$39</f>
        <v>1.3325909725920388E-3</v>
      </c>
      <c r="AB64" s="185">
        <f>'pred conserv percent - COMPAR'!AC$39</f>
        <v>1.6799093952490636E-3</v>
      </c>
      <c r="AC64" s="186">
        <f>'pred conserv percent - COMPAR'!AD$39</f>
        <v>8.3164265741575098E-3</v>
      </c>
      <c r="AD64" s="195"/>
      <c r="AE64" s="202">
        <f>AE21-(AE21*-$D$30)</f>
        <v>23169.3</v>
      </c>
      <c r="AF64" s="195"/>
      <c r="AG64" s="195"/>
      <c r="AH64" s="195"/>
      <c r="AI64" s="195"/>
      <c r="AJ64" s="195"/>
      <c r="AK64" s="195"/>
      <c r="AL64" s="195"/>
      <c r="AM64" s="195"/>
      <c r="AN64" s="195"/>
      <c r="AO64" s="195"/>
      <c r="AP64" s="195"/>
      <c r="AQ64" s="195"/>
      <c r="AR64" s="195"/>
      <c r="AS64" s="195"/>
      <c r="AT64" s="195"/>
    </row>
    <row r="65" spans="2:53" ht="30" customHeight="1">
      <c r="B65" s="902" t="s">
        <v>507</v>
      </c>
      <c r="C65" s="903"/>
      <c r="D65" s="903"/>
      <c r="E65" s="903"/>
      <c r="F65" s="903"/>
      <c r="G65" s="903"/>
      <c r="H65" s="903"/>
      <c r="I65" s="903"/>
      <c r="J65" s="903"/>
      <c r="K65" s="903"/>
      <c r="L65" s="903"/>
      <c r="M65" s="903"/>
      <c r="N65" s="903"/>
      <c r="O65" s="903"/>
      <c r="P65" s="903"/>
      <c r="Q65" s="903"/>
      <c r="R65" s="903"/>
      <c r="S65" s="903"/>
      <c r="T65" s="903"/>
      <c r="U65" s="903"/>
      <c r="V65" s="903"/>
      <c r="W65" s="903"/>
      <c r="X65" s="903"/>
      <c r="Y65" s="903"/>
      <c r="Z65" s="903"/>
      <c r="AA65" s="903"/>
      <c r="AB65" s="903"/>
      <c r="AC65" s="844"/>
      <c r="AD65" s="195"/>
      <c r="AE65" s="195"/>
      <c r="AF65" s="195"/>
      <c r="AG65" s="195"/>
      <c r="AH65" s="195"/>
      <c r="AI65" s="195"/>
      <c r="AJ65" s="195"/>
      <c r="AK65" s="195"/>
      <c r="AL65" s="195"/>
      <c r="AM65" s="195"/>
      <c r="AN65" s="195"/>
      <c r="AO65" s="195"/>
      <c r="AP65" s="195"/>
      <c r="AQ65" s="195"/>
      <c r="AR65" s="195"/>
      <c r="AS65" s="195"/>
      <c r="AT65" s="195"/>
    </row>
    <row r="66" spans="2:53" ht="15">
      <c r="B66" s="900" t="s">
        <v>186</v>
      </c>
      <c r="C66" s="187" t="str">
        <f>IF(OR(SUM(C65:AC65)=1,SUM(C65:AC65)=0),"","The sum of the percentages in the row above MUST equal 100% exactly")</f>
        <v/>
      </c>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88"/>
      <c r="AD66" s="195"/>
      <c r="AE66" s="195"/>
      <c r="AF66" s="195"/>
      <c r="AG66" s="195"/>
      <c r="AH66" s="195"/>
      <c r="AI66" s="195"/>
      <c r="AJ66" s="195"/>
      <c r="AK66" s="195"/>
      <c r="AL66" s="195"/>
      <c r="AM66" s="195"/>
      <c r="AN66" s="195"/>
      <c r="AO66" s="195"/>
      <c r="AP66" s="195"/>
      <c r="AQ66" s="195"/>
      <c r="AR66" s="195"/>
      <c r="AS66" s="195"/>
      <c r="AT66" s="195"/>
    </row>
    <row r="67" spans="2:53" ht="15.75" thickBot="1">
      <c r="B67" s="901" t="s">
        <v>509</v>
      </c>
      <c r="C67" s="911">
        <f>IF(C65="",C64,C65)</f>
        <v>6.8311718209540531E-2</v>
      </c>
      <c r="D67" s="911">
        <f t="shared" ref="D67:AB67" si="6">IF(D65="",D64,D65)</f>
        <v>0.12187438626078514</v>
      </c>
      <c r="E67" s="911">
        <f t="shared" si="6"/>
        <v>0.17044313356730778</v>
      </c>
      <c r="F67" s="911">
        <f t="shared" si="6"/>
        <v>0.16428779652659867</v>
      </c>
      <c r="G67" s="911">
        <f t="shared" si="6"/>
        <v>0.13470520950700252</v>
      </c>
      <c r="H67" s="911">
        <f t="shared" si="6"/>
        <v>9.9821602285023861E-2</v>
      </c>
      <c r="I67" s="911">
        <f t="shared" si="6"/>
        <v>6.917151083288868E-2</v>
      </c>
      <c r="J67" s="911">
        <f t="shared" si="6"/>
        <v>4.5266229120539243E-2</v>
      </c>
      <c r="K67" s="911">
        <f t="shared" si="6"/>
        <v>2.9833000246391406E-2</v>
      </c>
      <c r="L67" s="911">
        <f t="shared" si="6"/>
        <v>2.0840411577101741E-2</v>
      </c>
      <c r="M67" s="911">
        <f t="shared" si="6"/>
        <v>1.4815910508155894E-2</v>
      </c>
      <c r="N67" s="911">
        <f t="shared" si="6"/>
        <v>1.0212248197289315E-2</v>
      </c>
      <c r="O67" s="911">
        <f t="shared" si="6"/>
        <v>8.0396399948652122E-3</v>
      </c>
      <c r="P67" s="911">
        <f t="shared" si="6"/>
        <v>5.48745995499955E-3</v>
      </c>
      <c r="Q67" s="911">
        <f t="shared" si="6"/>
        <v>5.3636772361751114E-3</v>
      </c>
      <c r="R67" s="911">
        <f t="shared" si="6"/>
        <v>4.2440764492736325E-3</v>
      </c>
      <c r="S67" s="911">
        <f t="shared" si="6"/>
        <v>2.401346857867772E-3</v>
      </c>
      <c r="T67" s="911">
        <f t="shared" si="6"/>
        <v>2.766177294596937E-3</v>
      </c>
      <c r="U67" s="911">
        <f t="shared" si="6"/>
        <v>2.6815342935893058E-3</v>
      </c>
      <c r="V67" s="911">
        <f t="shared" si="6"/>
        <v>2.9903440784928743E-3</v>
      </c>
      <c r="W67" s="911">
        <f t="shared" si="6"/>
        <v>1.5682570704653692E-3</v>
      </c>
      <c r="X67" s="911">
        <f t="shared" si="6"/>
        <v>1.1788956967774013E-3</v>
      </c>
      <c r="Y67" s="911">
        <f t="shared" si="6"/>
        <v>1.188730168083031E-3</v>
      </c>
      <c r="Z67" s="911">
        <f t="shared" si="6"/>
        <v>1.1777771241903096E-3</v>
      </c>
      <c r="AA67" s="911">
        <f t="shared" si="6"/>
        <v>1.3325909725920388E-3</v>
      </c>
      <c r="AB67" s="911">
        <f t="shared" si="6"/>
        <v>1.6799093952490636E-3</v>
      </c>
      <c r="AC67" s="912">
        <f>IF(AC65="",AC64,AC65)</f>
        <v>8.3164265741575098E-3</v>
      </c>
      <c r="AD67" s="195"/>
      <c r="AE67" s="195"/>
      <c r="AF67" s="195"/>
      <c r="AG67" s="195"/>
      <c r="AH67" s="195"/>
      <c r="AI67" s="195"/>
      <c r="AJ67" s="195"/>
      <c r="AK67" s="195"/>
      <c r="AL67" s="195"/>
      <c r="AM67" s="195"/>
      <c r="AN67" s="195"/>
      <c r="AO67" s="195"/>
      <c r="AP67" s="195"/>
      <c r="AQ67" s="195"/>
      <c r="AR67" s="195"/>
      <c r="AS67" s="195"/>
      <c r="AT67" s="195"/>
    </row>
    <row r="68" spans="2:53" ht="15" hidden="1">
      <c r="B68" s="180" t="s">
        <v>187</v>
      </c>
      <c r="C68" s="189">
        <f>ROUND(C67*SUM($C$21:$AC$21),0)</f>
        <v>59049</v>
      </c>
      <c r="D68" s="189">
        <f t="shared" ref="D68:AC68" si="7">ROUND(D67*SUM($C$21:$AC$21),0)</f>
        <v>105349</v>
      </c>
      <c r="E68" s="189">
        <f t="shared" si="7"/>
        <v>147332</v>
      </c>
      <c r="F68" s="189">
        <f t="shared" si="7"/>
        <v>142011</v>
      </c>
      <c r="G68" s="189">
        <f t="shared" si="7"/>
        <v>116440</v>
      </c>
      <c r="H68" s="189">
        <f t="shared" si="7"/>
        <v>86286</v>
      </c>
      <c r="I68" s="189">
        <f t="shared" si="7"/>
        <v>59792</v>
      </c>
      <c r="J68" s="189">
        <f t="shared" si="7"/>
        <v>39128</v>
      </c>
      <c r="K68" s="189">
        <f t="shared" si="7"/>
        <v>25788</v>
      </c>
      <c r="L68" s="189">
        <f t="shared" si="7"/>
        <v>18015</v>
      </c>
      <c r="M68" s="189">
        <f t="shared" si="7"/>
        <v>12807</v>
      </c>
      <c r="N68" s="189">
        <f t="shared" si="7"/>
        <v>8827</v>
      </c>
      <c r="O68" s="189">
        <f t="shared" si="7"/>
        <v>6949</v>
      </c>
      <c r="P68" s="189">
        <f t="shared" si="7"/>
        <v>4743</v>
      </c>
      <c r="Q68" s="189">
        <f t="shared" si="7"/>
        <v>4636</v>
      </c>
      <c r="R68" s="189">
        <f t="shared" si="7"/>
        <v>3669</v>
      </c>
      <c r="S68" s="189">
        <f t="shared" si="7"/>
        <v>2076</v>
      </c>
      <c r="T68" s="189">
        <f t="shared" si="7"/>
        <v>2391</v>
      </c>
      <c r="U68" s="189">
        <f t="shared" si="7"/>
        <v>2318</v>
      </c>
      <c r="V68" s="189">
        <f t="shared" si="7"/>
        <v>2585</v>
      </c>
      <c r="W68" s="189">
        <f t="shared" si="7"/>
        <v>1356</v>
      </c>
      <c r="X68" s="189">
        <f t="shared" si="7"/>
        <v>1019</v>
      </c>
      <c r="Y68" s="189">
        <f t="shared" si="7"/>
        <v>1028</v>
      </c>
      <c r="Z68" s="189">
        <f t="shared" si="7"/>
        <v>1018</v>
      </c>
      <c r="AA68" s="189">
        <f t="shared" si="7"/>
        <v>1152</v>
      </c>
      <c r="AB68" s="189">
        <f t="shared" si="7"/>
        <v>1452</v>
      </c>
      <c r="AC68" s="190">
        <f t="shared" si="7"/>
        <v>7189</v>
      </c>
      <c r="AD68" s="195"/>
      <c r="AE68" s="195"/>
      <c r="AF68" s="195"/>
      <c r="AG68" s="195"/>
      <c r="AH68" s="195"/>
      <c r="AI68" s="195"/>
      <c r="AJ68" s="195"/>
      <c r="AK68" s="195"/>
      <c r="AL68" s="195"/>
      <c r="AM68" s="195"/>
      <c r="AN68" s="195"/>
      <c r="AO68" s="195"/>
      <c r="AP68" s="195"/>
      <c r="AQ68" s="195"/>
      <c r="AR68" s="195"/>
      <c r="AS68" s="195"/>
      <c r="AT68" s="195"/>
    </row>
    <row r="69" spans="2:53" ht="15" hidden="1">
      <c r="B69" s="180" t="s">
        <v>508</v>
      </c>
      <c r="C69" s="165">
        <f>C68*'Revenues from COMPARATIVE Rates'!C110</f>
        <v>472392</v>
      </c>
      <c r="D69" s="165">
        <f>D68*'Revenues from COMPARATIVE Rates'!D110</f>
        <v>1000815.5</v>
      </c>
      <c r="E69" s="165">
        <f>E68*'Revenues from COMPARATIVE Rates'!E110</f>
        <v>1620652</v>
      </c>
      <c r="F69" s="165">
        <f>F68*'Revenues from COMPARATIVE Rates'!F110</f>
        <v>1917148.5</v>
      </c>
      <c r="G69" s="165">
        <f>G68*'Revenues from COMPARATIVE Rates'!G110</f>
        <v>1863040</v>
      </c>
      <c r="H69" s="165">
        <f>H68*'Revenues from COMPARATIVE Rates'!H110</f>
        <v>1596291</v>
      </c>
      <c r="I69" s="165">
        <f>I68*'Revenues from COMPARATIVE Rates'!I110</f>
        <v>1255632</v>
      </c>
      <c r="J69" s="165">
        <f>J68*'Revenues from COMPARATIVE Rates'!J110</f>
        <v>919508</v>
      </c>
      <c r="K69" s="165">
        <f>K68*'Revenues from COMPARATIVE Rates'!K110</f>
        <v>670488</v>
      </c>
      <c r="L69" s="165">
        <f>L68*'Revenues from COMPARATIVE Rates'!L110</f>
        <v>513427.5</v>
      </c>
      <c r="M69" s="165">
        <f>M68*'Revenues from COMPARATIVE Rates'!M110</f>
        <v>397017</v>
      </c>
      <c r="N69" s="165">
        <f>N68*'Revenues from COMPARATIVE Rates'!N110</f>
        <v>295704.5</v>
      </c>
      <c r="O69" s="165">
        <f>O68*'Revenues from COMPARATIVE Rates'!O110</f>
        <v>250164</v>
      </c>
      <c r="P69" s="165">
        <f>P68*'Revenues from COMPARATIVE Rates'!P110</f>
        <v>182605.5</v>
      </c>
      <c r="Q69" s="165">
        <f>Q68*'Revenues from COMPARATIVE Rates'!Q110</f>
        <v>190076</v>
      </c>
      <c r="R69" s="165">
        <f>R68*'Revenues from COMPARATIVE Rates'!R110</f>
        <v>159601.5</v>
      </c>
      <c r="S69" s="165">
        <f>S68*'Revenues from COMPARATIVE Rates'!S110</f>
        <v>95496</v>
      </c>
      <c r="T69" s="165">
        <f>T68*'Revenues from COMPARATIVE Rates'!T110</f>
        <v>115963.5</v>
      </c>
      <c r="U69" s="165">
        <f>U68*'Revenues from COMPARATIVE Rates'!U110</f>
        <v>118218</v>
      </c>
      <c r="V69" s="165">
        <f>V68*'Revenues from COMPARATIVE Rates'!V110</f>
        <v>138297.5</v>
      </c>
      <c r="W69" s="165">
        <f>W68*'Revenues from COMPARATIVE Rates'!W110</f>
        <v>75936</v>
      </c>
      <c r="X69" s="165">
        <f>X68*'Revenues from COMPARATIVE Rates'!X110</f>
        <v>59611.5</v>
      </c>
      <c r="Y69" s="165">
        <f>Y68*'Revenues from COMPARATIVE Rates'!Y110</f>
        <v>62708</v>
      </c>
      <c r="Z69" s="165">
        <f>Z68*'Revenues from COMPARATIVE Rates'!Z110</f>
        <v>64643</v>
      </c>
      <c r="AA69" s="165">
        <f>AA68*'Revenues from COMPARATIVE Rates'!AA110</f>
        <v>76032</v>
      </c>
      <c r="AB69" s="165">
        <f>AB68*'Revenues from COMPARATIVE Rates'!AB110</f>
        <v>99462</v>
      </c>
      <c r="AC69" s="175">
        <f>AC68*'Revenues from COMPARATIVE Rates'!AC110</f>
        <v>533028.40500000003</v>
      </c>
      <c r="AD69" s="195"/>
      <c r="AE69" s="195"/>
      <c r="AF69" s="195"/>
      <c r="AG69" s="195"/>
      <c r="AH69" s="195"/>
      <c r="AI69" s="195"/>
      <c r="AJ69" s="195"/>
      <c r="AK69" s="195"/>
      <c r="AL69" s="195"/>
      <c r="AM69" s="195"/>
      <c r="AN69" s="195"/>
      <c r="AO69" s="195"/>
      <c r="AP69" s="195"/>
      <c r="AQ69" s="195"/>
      <c r="AR69" s="195"/>
      <c r="AS69" s="195"/>
      <c r="AT69" s="195"/>
    </row>
    <row r="70" spans="2:53" ht="15" hidden="1">
      <c r="B70" s="180" t="s">
        <v>305</v>
      </c>
      <c r="C70" s="165">
        <f>C68*'Revenues from COMPARATIVE Rates'!$C$8</f>
        <v>472392</v>
      </c>
      <c r="D70" s="165">
        <f>D68*'Revenues from COMPARATIVE Rates'!$C$8</f>
        <v>842792</v>
      </c>
      <c r="E70" s="165">
        <f>E68*'Revenues from COMPARATIVE Rates'!$C$8</f>
        <v>1178656</v>
      </c>
      <c r="F70" s="165">
        <f>F68*'Revenues from COMPARATIVE Rates'!$C$8</f>
        <v>1136088</v>
      </c>
      <c r="G70" s="165">
        <f>G68*'Revenues from COMPARATIVE Rates'!$C$8</f>
        <v>931520</v>
      </c>
      <c r="H70" s="165">
        <f>H68*'Revenues from COMPARATIVE Rates'!$C$8</f>
        <v>690288</v>
      </c>
      <c r="I70" s="165">
        <f>I68*'Revenues from COMPARATIVE Rates'!$C$8</f>
        <v>478336</v>
      </c>
      <c r="J70" s="165">
        <f>J68*'Revenues from COMPARATIVE Rates'!$C$8</f>
        <v>313024</v>
      </c>
      <c r="K70" s="165">
        <f>K68*'Revenues from COMPARATIVE Rates'!$C$8</f>
        <v>206304</v>
      </c>
      <c r="L70" s="165">
        <f>L68*'Revenues from COMPARATIVE Rates'!$C$8</f>
        <v>144120</v>
      </c>
      <c r="M70" s="165">
        <f>M68*'Revenues from COMPARATIVE Rates'!$C$8</f>
        <v>102456</v>
      </c>
      <c r="N70" s="165">
        <f>N68*'Revenues from COMPARATIVE Rates'!$C$8</f>
        <v>70616</v>
      </c>
      <c r="O70" s="165">
        <f>O68*'Revenues from COMPARATIVE Rates'!$C$8</f>
        <v>55592</v>
      </c>
      <c r="P70" s="165">
        <f>P68*'Revenues from COMPARATIVE Rates'!$C$8</f>
        <v>37944</v>
      </c>
      <c r="Q70" s="165">
        <f>Q68*'Revenues from COMPARATIVE Rates'!$C$8</f>
        <v>37088</v>
      </c>
      <c r="R70" s="165">
        <f>R68*'Revenues from COMPARATIVE Rates'!$C$8</f>
        <v>29352</v>
      </c>
      <c r="S70" s="165">
        <f>S68*'Revenues from COMPARATIVE Rates'!$C$8</f>
        <v>16608</v>
      </c>
      <c r="T70" s="165">
        <f>T68*'Revenues from COMPARATIVE Rates'!$C$8</f>
        <v>19128</v>
      </c>
      <c r="U70" s="165">
        <f>U68*'Revenues from COMPARATIVE Rates'!$C$8</f>
        <v>18544</v>
      </c>
      <c r="V70" s="165">
        <f>V68*'Revenues from COMPARATIVE Rates'!$C$8</f>
        <v>20680</v>
      </c>
      <c r="W70" s="165">
        <f>W68*'Revenues from COMPARATIVE Rates'!$C$8</f>
        <v>10848</v>
      </c>
      <c r="X70" s="165">
        <f>X68*'Revenues from COMPARATIVE Rates'!$C$8</f>
        <v>8152</v>
      </c>
      <c r="Y70" s="165">
        <f>Y68*'Revenues from COMPARATIVE Rates'!$C$8</f>
        <v>8224</v>
      </c>
      <c r="Z70" s="165">
        <f>Z68*'Revenues from COMPARATIVE Rates'!$C$8</f>
        <v>8144</v>
      </c>
      <c r="AA70" s="165">
        <f>AA68*'Revenues from COMPARATIVE Rates'!$C$8</f>
        <v>9216</v>
      </c>
      <c r="AB70" s="165">
        <f>AB68*'Revenues from COMPARATIVE Rates'!$C$8</f>
        <v>11616</v>
      </c>
      <c r="AC70" s="175">
        <f>AC68*'Revenues from COMPARATIVE Rates'!$C$8</f>
        <v>57512</v>
      </c>
      <c r="AD70" s="203"/>
      <c r="AE70" s="203"/>
      <c r="AF70" s="203"/>
      <c r="AG70" s="203"/>
      <c r="AH70" s="203"/>
      <c r="AI70" s="203"/>
      <c r="AJ70" s="203"/>
      <c r="AK70" s="203"/>
      <c r="AL70" s="203"/>
      <c r="AM70" s="203"/>
      <c r="AN70" s="203"/>
      <c r="AO70" s="203"/>
      <c r="AP70" s="203"/>
      <c r="AQ70" s="203"/>
      <c r="AR70" s="203"/>
      <c r="AS70" s="203"/>
      <c r="AT70" s="203"/>
      <c r="AU70" s="194"/>
      <c r="AV70" s="194"/>
      <c r="AW70" s="194"/>
      <c r="AX70" s="194"/>
      <c r="AY70" s="194"/>
      <c r="AZ70" s="194"/>
      <c r="BA70" s="194"/>
    </row>
    <row r="71" spans="2:53" ht="15.75" hidden="1" thickBot="1">
      <c r="B71" s="180" t="s">
        <v>306</v>
      </c>
      <c r="C71" s="165">
        <f>C69-C70</f>
        <v>0</v>
      </c>
      <c r="D71" s="165">
        <f t="shared" ref="D71:AC71" si="8">D69-D70</f>
        <v>158023.5</v>
      </c>
      <c r="E71" s="165">
        <f t="shared" si="8"/>
        <v>441996</v>
      </c>
      <c r="F71" s="165">
        <f t="shared" si="8"/>
        <v>781060.5</v>
      </c>
      <c r="G71" s="165">
        <f t="shared" si="8"/>
        <v>931520</v>
      </c>
      <c r="H71" s="165">
        <f t="shared" si="8"/>
        <v>906003</v>
      </c>
      <c r="I71" s="165">
        <f t="shared" si="8"/>
        <v>777296</v>
      </c>
      <c r="J71" s="176">
        <f t="shared" si="8"/>
        <v>606484</v>
      </c>
      <c r="K71" s="176">
        <f t="shared" si="8"/>
        <v>464184</v>
      </c>
      <c r="L71" s="176">
        <f t="shared" si="8"/>
        <v>369307.5</v>
      </c>
      <c r="M71" s="176">
        <f t="shared" si="8"/>
        <v>294561</v>
      </c>
      <c r="N71" s="176">
        <f t="shared" si="8"/>
        <v>225088.5</v>
      </c>
      <c r="O71" s="176">
        <f t="shared" si="8"/>
        <v>194572</v>
      </c>
      <c r="P71" s="176">
        <f t="shared" si="8"/>
        <v>144661.5</v>
      </c>
      <c r="Q71" s="176">
        <f t="shared" si="8"/>
        <v>152988</v>
      </c>
      <c r="R71" s="176">
        <f t="shared" si="8"/>
        <v>130249.5</v>
      </c>
      <c r="S71" s="176">
        <f t="shared" si="8"/>
        <v>78888</v>
      </c>
      <c r="T71" s="176">
        <f t="shared" si="8"/>
        <v>96835.5</v>
      </c>
      <c r="U71" s="176">
        <f t="shared" si="8"/>
        <v>99674</v>
      </c>
      <c r="V71" s="176">
        <f t="shared" si="8"/>
        <v>117617.5</v>
      </c>
      <c r="W71" s="176">
        <f t="shared" si="8"/>
        <v>65088</v>
      </c>
      <c r="X71" s="176">
        <f t="shared" si="8"/>
        <v>51459.5</v>
      </c>
      <c r="Y71" s="176">
        <f t="shared" si="8"/>
        <v>54484</v>
      </c>
      <c r="Z71" s="176">
        <f t="shared" si="8"/>
        <v>56499</v>
      </c>
      <c r="AA71" s="176">
        <f t="shared" si="8"/>
        <v>66816</v>
      </c>
      <c r="AB71" s="176">
        <f t="shared" si="8"/>
        <v>87846</v>
      </c>
      <c r="AC71" s="177">
        <f t="shared" si="8"/>
        <v>475516.40500000003</v>
      </c>
      <c r="AD71" s="195"/>
      <c r="AE71" s="195"/>
      <c r="AF71" s="195"/>
      <c r="AG71" s="195"/>
      <c r="AH71" s="195"/>
      <c r="AI71" s="195"/>
      <c r="AJ71" s="195"/>
      <c r="AK71" s="195"/>
      <c r="AL71" s="195"/>
      <c r="AM71" s="195"/>
      <c r="AN71" s="195"/>
      <c r="AO71" s="195"/>
      <c r="AP71" s="195"/>
      <c r="AQ71" s="195"/>
      <c r="AR71" s="195"/>
      <c r="AS71" s="195"/>
      <c r="AT71" s="195"/>
    </row>
    <row r="72" spans="2:53" ht="15">
      <c r="B72" s="915"/>
      <c r="C72" s="906"/>
      <c r="D72" s="906"/>
      <c r="E72" s="906"/>
      <c r="F72" s="906"/>
      <c r="G72" s="906"/>
      <c r="H72" s="906"/>
      <c r="I72" s="907"/>
      <c r="J72" s="133"/>
      <c r="K72" s="133"/>
      <c r="L72" s="133"/>
      <c r="M72" s="133"/>
      <c r="N72" s="133"/>
      <c r="O72" s="133"/>
      <c r="P72" s="133"/>
      <c r="Q72" s="133"/>
      <c r="R72" s="133"/>
      <c r="S72" s="133"/>
      <c r="T72" s="133"/>
      <c r="U72" s="133"/>
      <c r="V72" s="133"/>
      <c r="W72" s="133"/>
      <c r="X72" s="133"/>
      <c r="Y72" s="133"/>
      <c r="Z72" s="133"/>
      <c r="AA72" s="133"/>
      <c r="AB72" s="133"/>
      <c r="AC72" s="133"/>
      <c r="AD72" s="195"/>
      <c r="AE72" s="195"/>
      <c r="AF72" s="195"/>
      <c r="AG72" s="195"/>
      <c r="AH72" s="195"/>
      <c r="AI72" s="195"/>
      <c r="AJ72" s="195"/>
      <c r="AK72" s="195"/>
      <c r="AL72" s="195"/>
      <c r="AM72" s="195"/>
      <c r="AN72" s="195"/>
      <c r="AO72" s="195"/>
      <c r="AP72" s="195"/>
      <c r="AQ72" s="195"/>
      <c r="AR72" s="195"/>
      <c r="AS72" s="195"/>
      <c r="AT72" s="195"/>
    </row>
    <row r="73" spans="2:53" ht="15">
      <c r="B73" s="913"/>
      <c r="C73" s="904"/>
      <c r="D73" s="904"/>
      <c r="E73" s="904"/>
      <c r="F73" s="904"/>
      <c r="G73" s="904"/>
      <c r="H73" s="904"/>
      <c r="I73" s="905"/>
      <c r="J73" s="133"/>
      <c r="K73" s="133"/>
      <c r="L73" s="133"/>
      <c r="M73" s="133"/>
      <c r="N73" s="133"/>
      <c r="O73" s="133"/>
      <c r="P73" s="133"/>
      <c r="Q73" s="133"/>
      <c r="R73" s="133"/>
      <c r="S73" s="133"/>
      <c r="T73" s="133"/>
      <c r="U73" s="133"/>
      <c r="V73" s="133"/>
      <c r="W73" s="133"/>
      <c r="X73" s="133"/>
      <c r="Y73" s="133"/>
      <c r="Z73" s="133"/>
      <c r="AA73" s="133"/>
      <c r="AB73" s="133"/>
      <c r="AC73" s="133"/>
      <c r="AD73" s="195"/>
      <c r="AE73" s="195"/>
      <c r="AF73" s="195"/>
      <c r="AG73" s="195"/>
      <c r="AH73" s="195"/>
      <c r="AI73" s="195"/>
      <c r="AJ73" s="195"/>
      <c r="AK73" s="195"/>
      <c r="AL73" s="195"/>
      <c r="AM73" s="195"/>
      <c r="AN73" s="195"/>
      <c r="AO73" s="195"/>
      <c r="AP73" s="195"/>
      <c r="AQ73" s="195"/>
      <c r="AR73" s="195"/>
      <c r="AS73" s="195"/>
      <c r="AT73" s="195"/>
    </row>
    <row r="74" spans="2:53" ht="15">
      <c r="B74" s="913"/>
      <c r="C74" s="904"/>
      <c r="D74" s="904"/>
      <c r="E74" s="904"/>
      <c r="F74" s="904"/>
      <c r="G74" s="904"/>
      <c r="H74" s="904"/>
      <c r="I74" s="905"/>
      <c r="J74" s="133"/>
      <c r="K74" s="133"/>
      <c r="L74" s="133"/>
      <c r="M74" s="133"/>
      <c r="N74" s="133"/>
      <c r="O74" s="133"/>
      <c r="P74" s="133"/>
      <c r="Q74" s="133"/>
      <c r="R74" s="133"/>
      <c r="S74" s="133"/>
      <c r="T74" s="133"/>
      <c r="U74" s="133"/>
      <c r="V74" s="133"/>
      <c r="W74" s="133"/>
      <c r="X74" s="133"/>
      <c r="Y74" s="133"/>
      <c r="Z74" s="133"/>
      <c r="AA74" s="133"/>
      <c r="AB74" s="133"/>
      <c r="AC74" s="133"/>
      <c r="AD74" s="195"/>
      <c r="AE74" s="195"/>
      <c r="AF74" s="195"/>
      <c r="AG74" s="195"/>
      <c r="AH74" s="195"/>
      <c r="AI74" s="195"/>
      <c r="AJ74" s="195"/>
      <c r="AK74" s="195"/>
      <c r="AL74" s="195"/>
      <c r="AM74" s="195"/>
      <c r="AN74" s="195"/>
      <c r="AO74" s="195"/>
      <c r="AP74" s="195"/>
      <c r="AQ74" s="195"/>
      <c r="AR74" s="195"/>
      <c r="AS74" s="195"/>
      <c r="AT74" s="195"/>
    </row>
    <row r="75" spans="2:53" ht="15">
      <c r="B75" s="913"/>
      <c r="C75" s="904"/>
      <c r="D75" s="904"/>
      <c r="E75" s="904"/>
      <c r="F75" s="904"/>
      <c r="G75" s="904"/>
      <c r="H75" s="904"/>
      <c r="I75" s="905"/>
      <c r="J75" s="133"/>
      <c r="K75" s="133"/>
      <c r="L75" s="133"/>
      <c r="M75" s="133"/>
      <c r="N75" s="133"/>
      <c r="O75" s="133"/>
      <c r="P75" s="133"/>
      <c r="Q75" s="133"/>
      <c r="R75" s="133"/>
      <c r="S75" s="133"/>
      <c r="T75" s="133"/>
      <c r="U75" s="133"/>
      <c r="V75" s="133"/>
      <c r="W75" s="133"/>
      <c r="X75" s="133"/>
      <c r="Y75" s="133"/>
      <c r="Z75" s="133"/>
      <c r="AA75" s="133"/>
      <c r="AB75" s="133"/>
      <c r="AC75" s="133"/>
      <c r="AD75" s="195"/>
      <c r="AE75" s="195"/>
      <c r="AF75" s="195"/>
      <c r="AG75" s="195"/>
      <c r="AH75" s="195"/>
      <c r="AI75" s="195"/>
      <c r="AJ75" s="195"/>
      <c r="AK75" s="195"/>
      <c r="AL75" s="195"/>
      <c r="AM75" s="195"/>
      <c r="AN75" s="195"/>
      <c r="AO75" s="195"/>
      <c r="AP75" s="195"/>
      <c r="AQ75" s="195"/>
      <c r="AR75" s="195"/>
      <c r="AS75" s="195"/>
      <c r="AT75" s="195"/>
    </row>
    <row r="76" spans="2:53" ht="15">
      <c r="B76" s="913"/>
      <c r="C76" s="904"/>
      <c r="D76" s="904"/>
      <c r="E76" s="904"/>
      <c r="F76" s="904"/>
      <c r="G76" s="904"/>
      <c r="H76" s="904"/>
      <c r="I76" s="905"/>
      <c r="J76" s="133"/>
      <c r="K76" s="133"/>
      <c r="L76" s="133"/>
      <c r="M76" s="133"/>
      <c r="N76" s="133"/>
      <c r="O76" s="133"/>
      <c r="P76" s="133"/>
      <c r="Q76" s="133"/>
      <c r="R76" s="133"/>
      <c r="S76" s="133"/>
      <c r="T76" s="133"/>
      <c r="U76" s="133"/>
      <c r="V76" s="133"/>
      <c r="W76" s="133"/>
      <c r="X76" s="133"/>
      <c r="Y76" s="133"/>
      <c r="Z76" s="133"/>
      <c r="AA76" s="133"/>
      <c r="AB76" s="133"/>
      <c r="AC76" s="133"/>
      <c r="AD76" s="195"/>
      <c r="AE76" s="195"/>
      <c r="AF76" s="195"/>
      <c r="AG76" s="195"/>
      <c r="AH76" s="195"/>
      <c r="AI76" s="195"/>
      <c r="AJ76" s="195"/>
      <c r="AK76" s="195"/>
      <c r="AL76" s="195"/>
      <c r="AM76" s="195"/>
      <c r="AN76" s="195"/>
      <c r="AO76" s="195"/>
      <c r="AP76" s="195"/>
      <c r="AQ76" s="195"/>
      <c r="AR76" s="195"/>
      <c r="AS76" s="195"/>
      <c r="AT76" s="195"/>
    </row>
    <row r="77" spans="2:53" ht="15">
      <c r="B77" s="913"/>
      <c r="C77" s="904"/>
      <c r="D77" s="904"/>
      <c r="E77" s="904"/>
      <c r="F77" s="904"/>
      <c r="G77" s="904"/>
      <c r="H77" s="904"/>
      <c r="I77" s="905"/>
      <c r="J77" s="133"/>
      <c r="K77" s="133"/>
      <c r="L77" s="133"/>
      <c r="M77" s="133"/>
      <c r="N77" s="133"/>
      <c r="O77" s="133"/>
      <c r="P77" s="133"/>
      <c r="Q77" s="133"/>
      <c r="R77" s="133"/>
      <c r="S77" s="133"/>
      <c r="T77" s="133"/>
      <c r="U77" s="133"/>
      <c r="V77" s="133"/>
      <c r="W77" s="133"/>
      <c r="X77" s="133"/>
      <c r="Y77" s="133"/>
      <c r="Z77" s="133"/>
      <c r="AA77" s="133"/>
      <c r="AB77" s="133"/>
      <c r="AC77" s="133"/>
      <c r="AD77" s="195"/>
      <c r="AE77" s="195"/>
      <c r="AF77" s="195"/>
      <c r="AG77" s="195"/>
      <c r="AH77" s="195"/>
      <c r="AI77" s="195"/>
      <c r="AJ77" s="195"/>
      <c r="AK77" s="195"/>
      <c r="AL77" s="195"/>
      <c r="AM77" s="195"/>
      <c r="AN77" s="195"/>
      <c r="AO77" s="195"/>
      <c r="AP77" s="195"/>
      <c r="AQ77" s="195"/>
      <c r="AR77" s="195"/>
      <c r="AS77" s="195"/>
      <c r="AT77" s="195"/>
    </row>
    <row r="78" spans="2:53" ht="15">
      <c r="B78" s="913"/>
      <c r="C78" s="904"/>
      <c r="D78" s="904"/>
      <c r="E78" s="904"/>
      <c r="F78" s="904"/>
      <c r="G78" s="904"/>
      <c r="H78" s="904"/>
      <c r="I78" s="905"/>
      <c r="J78" s="133"/>
      <c r="K78" s="133"/>
      <c r="L78" s="133"/>
      <c r="M78" s="133"/>
      <c r="N78" s="133"/>
      <c r="O78" s="133"/>
      <c r="P78" s="133"/>
      <c r="Q78" s="133"/>
      <c r="R78" s="133"/>
      <c r="S78" s="133"/>
      <c r="T78" s="133"/>
      <c r="U78" s="133"/>
      <c r="V78" s="133"/>
      <c r="W78" s="133"/>
      <c r="X78" s="133"/>
      <c r="Y78" s="133"/>
      <c r="Z78" s="133"/>
      <c r="AA78" s="133"/>
      <c r="AB78" s="133"/>
      <c r="AC78" s="133"/>
      <c r="AD78" s="195"/>
      <c r="AE78" s="195"/>
      <c r="AF78" s="195"/>
      <c r="AG78" s="195"/>
      <c r="AH78" s="195"/>
      <c r="AI78" s="195"/>
      <c r="AJ78" s="195"/>
      <c r="AK78" s="195"/>
      <c r="AL78" s="195"/>
      <c r="AM78" s="195"/>
      <c r="AN78" s="195"/>
      <c r="AO78" s="195"/>
      <c r="AP78" s="195"/>
      <c r="AQ78" s="195"/>
      <c r="AR78" s="195"/>
      <c r="AS78" s="195"/>
      <c r="AT78" s="195"/>
    </row>
    <row r="79" spans="2:53" ht="15">
      <c r="B79" s="913"/>
      <c r="C79" s="904"/>
      <c r="D79" s="904"/>
      <c r="E79" s="904"/>
      <c r="F79" s="904"/>
      <c r="G79" s="904"/>
      <c r="H79" s="904"/>
      <c r="I79" s="905"/>
      <c r="J79" s="133"/>
      <c r="K79" s="133"/>
      <c r="L79" s="133"/>
      <c r="M79" s="133"/>
      <c r="N79" s="133"/>
      <c r="O79" s="133"/>
      <c r="P79" s="133"/>
      <c r="Q79" s="133"/>
      <c r="R79" s="133"/>
      <c r="S79" s="133"/>
      <c r="T79" s="133"/>
      <c r="U79" s="133"/>
      <c r="V79" s="133"/>
      <c r="W79" s="133"/>
      <c r="X79" s="133"/>
      <c r="Y79" s="133"/>
      <c r="Z79" s="133"/>
      <c r="AA79" s="133"/>
      <c r="AB79" s="133"/>
      <c r="AC79" s="133"/>
      <c r="AD79" s="195"/>
      <c r="AE79" s="195"/>
      <c r="AF79" s="195"/>
      <c r="AG79" s="195"/>
      <c r="AH79" s="195"/>
      <c r="AI79" s="195"/>
      <c r="AJ79" s="195"/>
      <c r="AK79" s="195"/>
      <c r="AL79" s="195"/>
      <c r="AM79" s="195"/>
      <c r="AN79" s="195"/>
      <c r="AO79" s="195"/>
      <c r="AP79" s="195"/>
      <c r="AQ79" s="195"/>
      <c r="AR79" s="195"/>
      <c r="AS79" s="195"/>
      <c r="AT79" s="195"/>
    </row>
    <row r="80" spans="2:53" ht="14.25">
      <c r="B80" s="914" t="str">
        <f>"Projected profile, after price elasticity effects, and changing demands that result in "&amp;ROUND(-$D$30*100,0)&amp;"% reduction in average residential water use"</f>
        <v>Projected profile, after price elasticity effects, and changing demands that result in 15% reduction in average residential water use</v>
      </c>
      <c r="C80" s="904"/>
      <c r="D80" s="904"/>
      <c r="E80" s="904"/>
      <c r="F80" s="904"/>
      <c r="G80" s="904"/>
      <c r="H80" s="904"/>
      <c r="I80" s="905"/>
      <c r="J80" s="133"/>
      <c r="K80" s="133"/>
      <c r="L80" s="133"/>
      <c r="M80" s="133"/>
      <c r="N80" s="133"/>
      <c r="O80" s="133"/>
      <c r="P80" s="133"/>
      <c r="Q80" s="133"/>
      <c r="R80" s="133"/>
      <c r="S80" s="133"/>
      <c r="T80" s="133"/>
      <c r="U80" s="133"/>
      <c r="V80" s="133"/>
      <c r="W80" s="133"/>
      <c r="X80" s="133"/>
      <c r="Y80" s="133"/>
      <c r="Z80" s="133"/>
      <c r="AA80" s="133"/>
      <c r="AB80" s="133"/>
      <c r="AC80" s="133"/>
      <c r="AD80" s="195"/>
      <c r="AE80" s="195"/>
      <c r="AF80" s="195"/>
      <c r="AG80" s="195"/>
      <c r="AH80" s="195"/>
      <c r="AI80" s="195"/>
      <c r="AJ80" s="195"/>
      <c r="AK80" s="195"/>
      <c r="AL80" s="195"/>
      <c r="AM80" s="195"/>
      <c r="AN80" s="195"/>
      <c r="AO80" s="195"/>
      <c r="AP80" s="195"/>
      <c r="AQ80" s="195"/>
      <c r="AR80" s="195"/>
      <c r="AS80" s="195"/>
      <c r="AT80" s="195"/>
    </row>
    <row r="81" spans="2:66" ht="15">
      <c r="B81" s="913"/>
      <c r="C81" s="904"/>
      <c r="D81" s="904"/>
      <c r="E81" s="904"/>
      <c r="F81" s="904"/>
      <c r="G81" s="904"/>
      <c r="H81" s="904"/>
      <c r="I81" s="905"/>
      <c r="J81" s="133"/>
      <c r="K81" s="133"/>
      <c r="L81" s="133"/>
      <c r="M81" s="133"/>
      <c r="N81" s="133"/>
      <c r="O81" s="133"/>
      <c r="P81" s="133"/>
      <c r="Q81" s="133"/>
      <c r="R81" s="133"/>
      <c r="S81" s="133"/>
      <c r="T81" s="133"/>
      <c r="U81" s="133"/>
      <c r="V81" s="133"/>
      <c r="W81" s="133"/>
      <c r="X81" s="133"/>
      <c r="Y81" s="133"/>
      <c r="Z81" s="133"/>
      <c r="AA81" s="133"/>
      <c r="AB81" s="133"/>
      <c r="AC81" s="133"/>
      <c r="AD81" s="195"/>
      <c r="AE81" s="195"/>
      <c r="AF81" s="195"/>
      <c r="AG81" s="195"/>
      <c r="AH81" s="195"/>
      <c r="AI81" s="195"/>
      <c r="AJ81" s="195"/>
      <c r="AK81" s="195"/>
      <c r="AL81" s="195"/>
      <c r="AM81" s="195"/>
      <c r="AN81" s="195"/>
      <c r="AO81" s="195"/>
      <c r="AP81" s="195"/>
      <c r="AQ81" s="195"/>
      <c r="AR81" s="195"/>
      <c r="AS81" s="195"/>
      <c r="AT81" s="195"/>
    </row>
    <row r="82" spans="2:66" ht="15">
      <c r="B82" s="913"/>
      <c r="C82" s="904"/>
      <c r="D82" s="904"/>
      <c r="E82" s="904"/>
      <c r="F82" s="904"/>
      <c r="G82" s="904"/>
      <c r="H82" s="904"/>
      <c r="I82" s="905"/>
      <c r="J82" s="133"/>
      <c r="K82" s="133"/>
      <c r="L82" s="133"/>
      <c r="M82" s="133"/>
      <c r="N82" s="133"/>
      <c r="O82" s="133"/>
      <c r="P82" s="133"/>
      <c r="Q82" s="133"/>
      <c r="R82" s="133"/>
      <c r="S82" s="133"/>
      <c r="T82" s="133"/>
      <c r="U82" s="133"/>
      <c r="V82" s="133"/>
      <c r="W82" s="133"/>
      <c r="X82" s="133"/>
      <c r="Y82" s="133"/>
      <c r="Z82" s="133"/>
      <c r="AA82" s="133"/>
      <c r="AB82" s="133"/>
      <c r="AC82" s="133"/>
      <c r="AD82" s="195"/>
      <c r="AE82" s="195"/>
      <c r="AF82" s="195"/>
      <c r="AG82" s="195"/>
      <c r="AH82" s="195"/>
      <c r="AI82" s="195"/>
      <c r="AJ82" s="195"/>
      <c r="AK82" s="195"/>
      <c r="AL82" s="195"/>
      <c r="AM82" s="195"/>
      <c r="AN82" s="195"/>
      <c r="AO82" s="195"/>
      <c r="AP82" s="195"/>
      <c r="AQ82" s="195"/>
      <c r="AR82" s="195"/>
      <c r="AS82" s="195"/>
      <c r="AT82" s="195"/>
    </row>
    <row r="83" spans="2:66" ht="15">
      <c r="B83" s="913"/>
      <c r="C83" s="904"/>
      <c r="D83" s="904"/>
      <c r="E83" s="904"/>
      <c r="F83" s="904"/>
      <c r="G83" s="904"/>
      <c r="H83" s="904"/>
      <c r="I83" s="905"/>
      <c r="J83" s="133"/>
      <c r="K83" s="133"/>
      <c r="L83" s="133"/>
      <c r="M83" s="133"/>
      <c r="N83" s="133"/>
      <c r="O83" s="133"/>
      <c r="P83" s="133"/>
      <c r="Q83" s="133"/>
      <c r="R83" s="133"/>
      <c r="S83" s="133"/>
      <c r="T83" s="133"/>
      <c r="U83" s="133"/>
      <c r="V83" s="133"/>
      <c r="W83" s="133"/>
      <c r="X83" s="133"/>
      <c r="Y83" s="133"/>
      <c r="Z83" s="133"/>
      <c r="AA83" s="133"/>
      <c r="AB83" s="133"/>
      <c r="AC83" s="133"/>
      <c r="AD83" s="195"/>
      <c r="AE83" s="195"/>
      <c r="AF83" s="195"/>
      <c r="AG83" s="195"/>
      <c r="AH83" s="195"/>
      <c r="AI83" s="195"/>
      <c r="AJ83" s="195"/>
      <c r="AK83" s="195"/>
      <c r="AL83" s="195"/>
      <c r="AM83" s="195"/>
      <c r="AN83" s="195"/>
      <c r="AO83" s="195"/>
      <c r="AP83" s="195"/>
      <c r="AQ83" s="195"/>
      <c r="AR83" s="195"/>
      <c r="AS83" s="195"/>
      <c r="AT83" s="195"/>
    </row>
    <row r="84" spans="2:66" ht="15">
      <c r="B84" s="913"/>
      <c r="C84" s="904"/>
      <c r="D84" s="904"/>
      <c r="E84" s="904"/>
      <c r="F84" s="904"/>
      <c r="G84" s="904"/>
      <c r="H84" s="904"/>
      <c r="I84" s="905"/>
      <c r="J84" s="133"/>
      <c r="K84" s="133"/>
      <c r="L84" s="133"/>
      <c r="M84" s="133"/>
      <c r="N84" s="133"/>
      <c r="O84" s="133"/>
      <c r="P84" s="133"/>
      <c r="Q84" s="133"/>
      <c r="R84" s="133"/>
      <c r="S84" s="133"/>
      <c r="T84" s="133"/>
      <c r="U84" s="133"/>
      <c r="V84" s="133"/>
      <c r="W84" s="133"/>
      <c r="X84" s="133"/>
      <c r="Y84" s="133"/>
      <c r="Z84" s="133"/>
      <c r="AA84" s="133"/>
      <c r="AB84" s="133"/>
      <c r="AC84" s="133"/>
      <c r="AD84" s="195"/>
      <c r="AE84" s="195"/>
      <c r="AF84" s="195"/>
      <c r="AG84" s="195"/>
      <c r="AH84" s="195"/>
      <c r="AI84" s="195"/>
      <c r="AJ84" s="195"/>
      <c r="AK84" s="195"/>
      <c r="AL84" s="195"/>
      <c r="AM84" s="195"/>
      <c r="AN84" s="195"/>
      <c r="AO84" s="195"/>
      <c r="AP84" s="195"/>
      <c r="AQ84" s="195"/>
      <c r="AR84" s="195"/>
      <c r="AS84" s="195"/>
      <c r="AT84" s="195"/>
    </row>
    <row r="85" spans="2:66" ht="15">
      <c r="B85" s="913"/>
      <c r="C85" s="904"/>
      <c r="D85" s="904"/>
      <c r="E85" s="904"/>
      <c r="F85" s="904"/>
      <c r="G85" s="904"/>
      <c r="H85" s="904"/>
      <c r="I85" s="905"/>
      <c r="J85" s="133"/>
      <c r="K85" s="133"/>
      <c r="L85" s="133"/>
      <c r="M85" s="133"/>
      <c r="N85" s="133"/>
      <c r="O85" s="133"/>
      <c r="P85" s="133"/>
      <c r="Q85" s="133"/>
      <c r="R85" s="133"/>
      <c r="S85" s="133"/>
      <c r="T85" s="133"/>
      <c r="U85" s="133"/>
      <c r="V85" s="133"/>
      <c r="W85" s="133"/>
      <c r="X85" s="133"/>
      <c r="Y85" s="133"/>
      <c r="Z85" s="133"/>
      <c r="AA85" s="133"/>
      <c r="AB85" s="133"/>
      <c r="AC85" s="133"/>
      <c r="AD85" s="195"/>
      <c r="AE85" s="195"/>
      <c r="AF85" s="195"/>
      <c r="AG85" s="195"/>
      <c r="AH85" s="195"/>
      <c r="AI85" s="195"/>
      <c r="AJ85" s="195"/>
      <c r="AK85" s="195"/>
      <c r="AL85" s="195"/>
      <c r="AM85" s="195"/>
      <c r="AN85" s="195"/>
      <c r="AO85" s="195"/>
      <c r="AP85" s="195"/>
      <c r="AQ85" s="195"/>
      <c r="AR85" s="195"/>
      <c r="AS85" s="195"/>
      <c r="AT85" s="195"/>
    </row>
    <row r="86" spans="2:66" ht="15.75" thickBot="1">
      <c r="B86" s="916"/>
      <c r="C86" s="909"/>
      <c r="D86" s="909"/>
      <c r="E86" s="909"/>
      <c r="F86" s="909"/>
      <c r="G86" s="909"/>
      <c r="H86" s="909"/>
      <c r="I86" s="910"/>
      <c r="J86" s="133"/>
      <c r="K86" s="133"/>
      <c r="L86" s="133"/>
      <c r="M86" s="133"/>
      <c r="N86" s="133"/>
      <c r="O86" s="133"/>
      <c r="P86" s="133"/>
      <c r="Q86" s="133"/>
      <c r="R86" s="133"/>
      <c r="S86" s="133"/>
      <c r="T86" s="133"/>
      <c r="U86" s="133"/>
      <c r="V86" s="133"/>
      <c r="W86" s="133"/>
      <c r="X86" s="133"/>
      <c r="Y86" s="133"/>
      <c r="Z86" s="133"/>
      <c r="AA86" s="133"/>
      <c r="AB86" s="133"/>
      <c r="AC86" s="133"/>
      <c r="AD86" s="195"/>
      <c r="AE86" s="195"/>
      <c r="AF86" s="195"/>
      <c r="AG86" s="195"/>
      <c r="AH86" s="195"/>
      <c r="AI86" s="195"/>
      <c r="AJ86" s="195"/>
      <c r="AK86" s="195"/>
      <c r="AL86" s="195"/>
      <c r="AM86" s="195"/>
      <c r="AN86" s="195"/>
      <c r="AO86" s="195"/>
      <c r="AP86" s="195"/>
      <c r="AQ86" s="195"/>
      <c r="AR86" s="195"/>
      <c r="AS86" s="195"/>
      <c r="AT86" s="195"/>
    </row>
    <row r="87" spans="2:66" s="118" customFormat="1" ht="15" thickBot="1">
      <c r="B87" s="129"/>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466"/>
      <c r="AE87" s="466"/>
      <c r="AF87" s="466"/>
      <c r="AG87" s="466"/>
      <c r="AH87" s="466"/>
      <c r="AI87" s="466"/>
      <c r="AJ87" s="466"/>
      <c r="AK87" s="466"/>
      <c r="AL87" s="466"/>
      <c r="AM87" s="466"/>
      <c r="AN87" s="466"/>
      <c r="AO87" s="466"/>
      <c r="AP87" s="466"/>
      <c r="AQ87" s="466"/>
      <c r="AR87" s="466"/>
      <c r="AS87" s="466"/>
      <c r="AT87" s="466"/>
      <c r="AU87" s="337"/>
      <c r="AV87" s="337"/>
      <c r="AW87" s="337"/>
      <c r="AX87" s="337"/>
      <c r="AY87" s="337"/>
      <c r="AZ87" s="337"/>
      <c r="BA87" s="337"/>
      <c r="BB87" s="337"/>
      <c r="BC87" s="337"/>
      <c r="BD87" s="337"/>
      <c r="BE87" s="337"/>
      <c r="BF87" s="337"/>
      <c r="BG87" s="337"/>
      <c r="BH87" s="337"/>
      <c r="BI87" s="337"/>
      <c r="BJ87" s="337"/>
      <c r="BK87" s="337"/>
      <c r="BL87" s="337"/>
      <c r="BM87" s="337"/>
      <c r="BN87" s="337"/>
    </row>
    <row r="88" spans="2:66" ht="48.75" customHeight="1">
      <c r="B88" s="1158" t="str">
        <f>"Estimated Projected Revenues with Approximately "&amp;ROUND(-$D$30*100,0)&amp;"% Reduction in Average Water Use"</f>
        <v>Estimated Projected Revenues with Approximately 15% Reduction in Average Water Use</v>
      </c>
      <c r="C88" s="1159"/>
      <c r="D88" s="1159"/>
      <c r="E88" s="1159"/>
      <c r="F88" s="1159"/>
      <c r="G88" s="1159"/>
      <c r="H88" s="1159"/>
      <c r="I88" s="1160"/>
      <c r="J88" s="133"/>
      <c r="K88" s="133"/>
      <c r="L88" s="133"/>
      <c r="M88" s="133"/>
      <c r="N88" s="133"/>
      <c r="O88" s="133"/>
      <c r="P88" s="133"/>
      <c r="Q88" s="133"/>
      <c r="R88" s="133"/>
      <c r="S88" s="133"/>
      <c r="T88" s="133"/>
      <c r="U88" s="133"/>
      <c r="V88" s="133"/>
      <c r="W88" s="133"/>
      <c r="X88" s="133"/>
      <c r="Y88" s="133"/>
      <c r="Z88" s="133"/>
      <c r="AA88" s="133"/>
      <c r="AB88" s="133"/>
      <c r="AC88" s="133"/>
      <c r="AD88" s="195"/>
      <c r="AE88" s="195"/>
      <c r="AF88" s="195"/>
      <c r="AG88" s="195"/>
      <c r="AH88" s="195"/>
      <c r="AI88" s="195"/>
      <c r="AJ88" s="195"/>
      <c r="AK88" s="195"/>
      <c r="AL88" s="195"/>
      <c r="AM88" s="195"/>
      <c r="AN88" s="195"/>
      <c r="AO88" s="195"/>
      <c r="AP88" s="195"/>
      <c r="AQ88" s="195"/>
      <c r="AR88" s="195"/>
      <c r="AS88" s="195"/>
      <c r="AT88" s="195"/>
    </row>
    <row r="89" spans="2:66" ht="14.25">
      <c r="B89" s="154"/>
      <c r="C89" s="155"/>
      <c r="D89" s="155"/>
      <c r="E89" s="155"/>
      <c r="F89" s="155"/>
      <c r="G89" s="155"/>
      <c r="H89" s="155"/>
      <c r="I89" s="167"/>
      <c r="J89" s="138"/>
      <c r="K89" s="138"/>
      <c r="L89" s="138"/>
      <c r="M89" s="138"/>
      <c r="N89" s="138"/>
      <c r="O89" s="138"/>
      <c r="P89" s="138"/>
      <c r="Q89" s="138"/>
      <c r="R89" s="138"/>
      <c r="S89" s="138"/>
      <c r="T89" s="138"/>
      <c r="U89" s="138"/>
      <c r="V89" s="138"/>
      <c r="W89" s="138"/>
      <c r="X89" s="138"/>
      <c r="Y89" s="138"/>
      <c r="Z89" s="138"/>
      <c r="AA89" s="138"/>
      <c r="AB89" s="138"/>
      <c r="AC89" s="138"/>
      <c r="AD89" s="195"/>
      <c r="AE89" s="195"/>
      <c r="AF89" s="195"/>
      <c r="AG89" s="195"/>
      <c r="AH89" s="195"/>
      <c r="AI89" s="195"/>
      <c r="AJ89" s="195"/>
      <c r="AK89" s="195"/>
      <c r="AL89" s="195"/>
      <c r="AM89" s="195"/>
      <c r="AN89" s="195"/>
      <c r="AO89" s="195"/>
      <c r="AP89" s="195"/>
      <c r="AQ89" s="195"/>
      <c r="AR89" s="195"/>
      <c r="AS89" s="195"/>
      <c r="AT89" s="195"/>
    </row>
    <row r="90" spans="2:66" ht="16.5" thickBot="1">
      <c r="B90" s="778" t="s">
        <v>518</v>
      </c>
      <c r="C90" s="155"/>
      <c r="D90" s="155"/>
      <c r="E90" s="155"/>
      <c r="F90" s="155"/>
      <c r="G90" s="155"/>
      <c r="H90" s="155"/>
      <c r="I90" s="167"/>
      <c r="J90" s="138"/>
      <c r="K90" s="138"/>
      <c r="L90" s="138"/>
      <c r="M90" s="138"/>
      <c r="N90" s="138"/>
      <c r="O90" s="138"/>
      <c r="P90" s="138"/>
      <c r="Q90" s="138"/>
      <c r="R90" s="138"/>
      <c r="S90" s="138"/>
      <c r="T90" s="138"/>
      <c r="U90" s="138"/>
      <c r="V90" s="138"/>
      <c r="W90" s="138"/>
      <c r="X90" s="138"/>
      <c r="Y90" s="138"/>
      <c r="Z90" s="138"/>
      <c r="AA90" s="138"/>
      <c r="AB90" s="138"/>
      <c r="AC90" s="138"/>
      <c r="AD90" s="195"/>
      <c r="AE90" s="195"/>
      <c r="AF90" s="195"/>
      <c r="AG90" s="195"/>
      <c r="AH90" s="195"/>
      <c r="AI90" s="195"/>
      <c r="AJ90" s="195"/>
      <c r="AK90" s="195"/>
      <c r="AL90" s="195"/>
      <c r="AM90" s="195"/>
      <c r="AN90" s="195"/>
      <c r="AO90" s="195"/>
      <c r="AP90" s="195"/>
      <c r="AQ90" s="195"/>
      <c r="AR90" s="195"/>
      <c r="AS90" s="195"/>
      <c r="AT90" s="195"/>
    </row>
    <row r="91" spans="2:66" s="124" customFormat="1" ht="53.25" customHeight="1">
      <c r="B91" s="169"/>
      <c r="C91" s="1109" t="s">
        <v>519</v>
      </c>
      <c r="D91" s="1109"/>
      <c r="E91" s="1109" t="str">
        <f>"After approximately "&amp;ROUND(-$D$30*100,0)&amp;"% reduction in average water use"</f>
        <v>After approximately 15% reduction in average water use</v>
      </c>
      <c r="F91" s="1109"/>
      <c r="G91" s="1153" t="s">
        <v>333</v>
      </c>
      <c r="H91" s="1154"/>
      <c r="I91" s="930"/>
      <c r="J91" s="131"/>
      <c r="K91" s="139"/>
      <c r="L91" s="139"/>
      <c r="M91" s="139"/>
      <c r="N91" s="139"/>
      <c r="O91" s="139"/>
      <c r="P91" s="139"/>
      <c r="Q91" s="139"/>
      <c r="R91" s="139"/>
      <c r="S91" s="139"/>
      <c r="T91" s="139"/>
      <c r="U91" s="139"/>
      <c r="V91" s="139"/>
      <c r="W91" s="139"/>
      <c r="X91" s="139"/>
      <c r="Y91" s="139"/>
      <c r="Z91" s="139"/>
      <c r="AA91" s="139"/>
      <c r="AB91" s="139"/>
      <c r="AC91" s="139"/>
      <c r="AD91" s="198"/>
      <c r="AE91" s="198"/>
      <c r="AF91" s="198"/>
      <c r="AG91" s="198"/>
      <c r="AH91" s="198"/>
      <c r="AI91" s="198"/>
      <c r="AJ91" s="198"/>
      <c r="AK91" s="198"/>
      <c r="AL91" s="198"/>
      <c r="AM91" s="198"/>
      <c r="AN91" s="198"/>
      <c r="AO91" s="198"/>
      <c r="AP91" s="198"/>
      <c r="AQ91" s="198"/>
      <c r="AR91" s="198"/>
      <c r="AS91" s="198"/>
      <c r="AT91" s="198"/>
      <c r="AU91" s="199"/>
      <c r="AV91" s="199"/>
      <c r="AW91" s="199"/>
      <c r="AX91" s="199"/>
      <c r="AY91" s="199"/>
      <c r="AZ91" s="199"/>
      <c r="BA91" s="199"/>
      <c r="BB91" s="199"/>
      <c r="BC91" s="199"/>
      <c r="BD91" s="199"/>
      <c r="BE91" s="199"/>
      <c r="BF91" s="199"/>
      <c r="BG91" s="199"/>
      <c r="BH91" s="199"/>
      <c r="BI91" s="199"/>
      <c r="BJ91" s="199"/>
      <c r="BK91" s="199"/>
      <c r="BL91" s="199"/>
      <c r="BM91" s="199"/>
      <c r="BN91" s="199"/>
    </row>
    <row r="92" spans="2:66" ht="15.75">
      <c r="B92" s="925" t="s">
        <v>322</v>
      </c>
      <c r="C92" s="1144">
        <f>'Revenues from REFERENCE Rates'!$E$40</f>
        <v>15408000</v>
      </c>
      <c r="D92" s="1144"/>
      <c r="E92" s="1144">
        <f>ROUND(SUM(C44:AC44),-3)</f>
        <v>13706000</v>
      </c>
      <c r="F92" s="1144"/>
      <c r="G92" s="922">
        <f>E92-C92</f>
        <v>-1702000</v>
      </c>
      <c r="H92" s="926">
        <f>G92/C92</f>
        <v>-0.11046209761163032</v>
      </c>
      <c r="I92" s="782"/>
      <c r="J92" s="128"/>
      <c r="K92" s="138"/>
      <c r="L92" s="138"/>
      <c r="M92" s="138"/>
      <c r="N92" s="138"/>
      <c r="O92" s="138"/>
      <c r="P92" s="138"/>
      <c r="Q92" s="138"/>
      <c r="R92" s="138"/>
      <c r="S92" s="138"/>
      <c r="T92" s="138"/>
      <c r="U92" s="138"/>
      <c r="V92" s="138"/>
      <c r="W92" s="138"/>
      <c r="X92" s="138"/>
      <c r="Y92" s="138"/>
      <c r="Z92" s="138"/>
      <c r="AA92" s="138"/>
      <c r="AB92" s="138"/>
      <c r="AC92" s="138"/>
      <c r="AD92" s="195"/>
      <c r="AE92" s="195"/>
      <c r="AF92" s="195"/>
      <c r="AG92" s="195"/>
      <c r="AH92" s="195"/>
      <c r="AI92" s="195"/>
      <c r="AJ92" s="195"/>
      <c r="AK92" s="195"/>
      <c r="AL92" s="195"/>
      <c r="AM92" s="195"/>
      <c r="AN92" s="195"/>
      <c r="AO92" s="195"/>
      <c r="AP92" s="195"/>
      <c r="AQ92" s="195"/>
      <c r="AR92" s="195"/>
      <c r="AS92" s="195"/>
      <c r="AT92" s="195"/>
    </row>
    <row r="93" spans="2:66" ht="14.25">
      <c r="B93" s="164" t="s">
        <v>513</v>
      </c>
      <c r="C93" s="1146">
        <f>'Revenues from REFERENCE Rates'!$E$41</f>
        <v>4322000</v>
      </c>
      <c r="D93" s="1146"/>
      <c r="E93" s="1146">
        <f>ROUND(SUM(C45:AC45),-3)</f>
        <v>4322000</v>
      </c>
      <c r="F93" s="1146"/>
      <c r="G93" s="923">
        <f>E93-C93</f>
        <v>0</v>
      </c>
      <c r="H93" s="927">
        <f>G93/C93</f>
        <v>0</v>
      </c>
      <c r="I93" s="782"/>
      <c r="J93" s="128"/>
      <c r="K93" s="138"/>
      <c r="L93" s="138"/>
      <c r="M93" s="138"/>
      <c r="N93" s="138"/>
      <c r="O93" s="138"/>
      <c r="P93" s="138"/>
      <c r="Q93" s="138"/>
      <c r="R93" s="138"/>
      <c r="S93" s="138"/>
      <c r="T93" s="138"/>
      <c r="U93" s="138"/>
      <c r="V93" s="138"/>
      <c r="W93" s="138"/>
      <c r="X93" s="138"/>
      <c r="Y93" s="138"/>
      <c r="Z93" s="138"/>
      <c r="AA93" s="138"/>
      <c r="AB93" s="138"/>
      <c r="AC93" s="138"/>
      <c r="AD93" s="195"/>
      <c r="AE93" s="195"/>
      <c r="AF93" s="195"/>
      <c r="AG93" s="195"/>
      <c r="AH93" s="195"/>
      <c r="AI93" s="195"/>
      <c r="AJ93" s="195"/>
      <c r="AK93" s="195"/>
      <c r="AL93" s="195"/>
      <c r="AM93" s="195"/>
      <c r="AN93" s="195"/>
      <c r="AO93" s="195"/>
      <c r="AP93" s="195"/>
      <c r="AQ93" s="195"/>
      <c r="AR93" s="195"/>
      <c r="AS93" s="195"/>
      <c r="AT93" s="195"/>
    </row>
    <row r="94" spans="2:66" ht="14.25">
      <c r="B94" s="164" t="s">
        <v>514</v>
      </c>
      <c r="C94" s="1146">
        <f>'Revenues from REFERENCE Rates'!$E$42</f>
        <v>11086000</v>
      </c>
      <c r="D94" s="1146"/>
      <c r="E94" s="1146">
        <f>ROUND(SUM(C46:AC46),-3)</f>
        <v>9384000</v>
      </c>
      <c r="F94" s="1146"/>
      <c r="G94" s="923">
        <f>E94-C94</f>
        <v>-1702000</v>
      </c>
      <c r="H94" s="927">
        <f>G94/C94</f>
        <v>-0.15352697095435686</v>
      </c>
      <c r="I94" s="782"/>
      <c r="J94" s="128"/>
      <c r="K94" s="138"/>
      <c r="L94" s="138"/>
      <c r="M94" s="138"/>
      <c r="N94" s="138"/>
      <c r="O94" s="138"/>
      <c r="P94" s="138"/>
      <c r="Q94" s="138"/>
      <c r="R94" s="138"/>
      <c r="S94" s="138"/>
      <c r="T94" s="138"/>
      <c r="U94" s="138"/>
      <c r="V94" s="138"/>
      <c r="W94" s="138"/>
      <c r="X94" s="138"/>
      <c r="Y94" s="138"/>
      <c r="Z94" s="138"/>
      <c r="AA94" s="138"/>
      <c r="AB94" s="138"/>
      <c r="AC94" s="138"/>
      <c r="AD94" s="195"/>
      <c r="AE94" s="195"/>
      <c r="AF94" s="195"/>
      <c r="AG94" s="195"/>
      <c r="AH94" s="195"/>
      <c r="AI94" s="195"/>
      <c r="AJ94" s="195"/>
      <c r="AK94" s="195"/>
      <c r="AL94" s="195"/>
      <c r="AM94" s="195"/>
      <c r="AN94" s="195"/>
      <c r="AO94" s="195"/>
      <c r="AP94" s="195"/>
      <c r="AQ94" s="195"/>
      <c r="AR94" s="195"/>
      <c r="AS94" s="195"/>
      <c r="AT94" s="195"/>
    </row>
    <row r="95" spans="2:66" ht="6.75" customHeight="1">
      <c r="B95" s="180"/>
      <c r="C95" s="191"/>
      <c r="D95" s="191"/>
      <c r="E95" s="924"/>
      <c r="F95" s="924"/>
      <c r="G95" s="172"/>
      <c r="H95" s="188"/>
      <c r="I95" s="153"/>
      <c r="J95" s="128"/>
      <c r="K95" s="138"/>
      <c r="L95" s="138"/>
      <c r="M95" s="138"/>
      <c r="N95" s="138"/>
      <c r="O95" s="138"/>
      <c r="P95" s="138"/>
      <c r="Q95" s="138"/>
      <c r="R95" s="138"/>
      <c r="S95" s="138"/>
      <c r="T95" s="138"/>
      <c r="U95" s="138"/>
      <c r="V95" s="138"/>
      <c r="W95" s="138"/>
      <c r="X95" s="138"/>
      <c r="Y95" s="138"/>
      <c r="Z95" s="138"/>
      <c r="AA95" s="138"/>
      <c r="AB95" s="138"/>
      <c r="AC95" s="138"/>
      <c r="AD95" s="195"/>
      <c r="AE95" s="195"/>
      <c r="AF95" s="195"/>
      <c r="AG95" s="195"/>
      <c r="AH95" s="195"/>
      <c r="AI95" s="195"/>
      <c r="AJ95" s="195"/>
      <c r="AK95" s="195"/>
      <c r="AL95" s="195"/>
      <c r="AM95" s="195"/>
      <c r="AN95" s="195"/>
      <c r="AO95" s="195"/>
      <c r="AP95" s="195"/>
      <c r="AQ95" s="195"/>
      <c r="AR95" s="195"/>
      <c r="AS95" s="195"/>
      <c r="AT95" s="195"/>
    </row>
    <row r="96" spans="2:66" ht="15" thickBot="1">
      <c r="B96" s="928" t="s">
        <v>515</v>
      </c>
      <c r="C96" s="1163">
        <f>'Revenues from REFERENCE Rates'!F31</f>
        <v>5130</v>
      </c>
      <c r="D96" s="1163"/>
      <c r="E96" s="1163">
        <f>(SUMPRODUCT(C43:AB43,C$8:AB$8)+AC43*AE39)/SUM(C43:AC43)</f>
        <v>4307.7226310473961</v>
      </c>
      <c r="F96" s="1163"/>
      <c r="G96" s="182"/>
      <c r="H96" s="929">
        <f>(-C96+E96)/C96</f>
        <v>-0.16028798615060505</v>
      </c>
      <c r="I96" s="153"/>
      <c r="J96" s="128"/>
      <c r="K96" s="138"/>
      <c r="L96" s="138"/>
      <c r="M96" s="138"/>
      <c r="N96" s="138"/>
      <c r="O96" s="138"/>
      <c r="P96" s="138"/>
      <c r="Q96" s="138"/>
      <c r="R96" s="138"/>
      <c r="S96" s="138"/>
      <c r="T96" s="138"/>
      <c r="U96" s="138"/>
      <c r="V96" s="138"/>
      <c r="W96" s="138"/>
      <c r="X96" s="138"/>
      <c r="Y96" s="138"/>
      <c r="Z96" s="138"/>
      <c r="AA96" s="138"/>
      <c r="AB96" s="138"/>
      <c r="AC96" s="138"/>
      <c r="AD96" s="195"/>
      <c r="AE96" s="195"/>
      <c r="AF96" s="195"/>
      <c r="AG96" s="195"/>
      <c r="AH96" s="195"/>
      <c r="AI96" s="195"/>
      <c r="AJ96" s="195"/>
      <c r="AK96" s="195"/>
      <c r="AL96" s="195"/>
      <c r="AM96" s="195"/>
      <c r="AN96" s="195"/>
      <c r="AO96" s="195"/>
      <c r="AP96" s="195"/>
      <c r="AQ96" s="195"/>
      <c r="AR96" s="195"/>
      <c r="AS96" s="195"/>
      <c r="AT96" s="195"/>
    </row>
    <row r="97" spans="2:66" ht="14.25">
      <c r="B97" s="154"/>
      <c r="C97" s="155"/>
      <c r="D97" s="155"/>
      <c r="E97" s="155"/>
      <c r="F97" s="155"/>
      <c r="G97" s="155"/>
      <c r="H97" s="921" t="s">
        <v>521</v>
      </c>
      <c r="I97" s="167"/>
      <c r="J97" s="138"/>
      <c r="K97" s="138"/>
      <c r="L97" s="138"/>
      <c r="M97" s="138"/>
      <c r="N97" s="138"/>
      <c r="O97" s="138"/>
      <c r="P97" s="138"/>
      <c r="Q97" s="138"/>
      <c r="R97" s="138"/>
      <c r="S97" s="138"/>
      <c r="T97" s="138"/>
      <c r="U97" s="138"/>
      <c r="V97" s="138"/>
      <c r="W97" s="138"/>
      <c r="X97" s="138"/>
      <c r="Y97" s="138"/>
      <c r="Z97" s="138"/>
      <c r="AA97" s="138"/>
      <c r="AB97" s="138"/>
      <c r="AC97" s="138"/>
      <c r="AD97" s="195"/>
      <c r="AE97" s="195"/>
      <c r="AF97" s="195"/>
      <c r="AG97" s="195"/>
      <c r="AH97" s="195"/>
      <c r="AI97" s="195"/>
      <c r="AJ97" s="195"/>
      <c r="AK97" s="195"/>
      <c r="AL97" s="195"/>
      <c r="AM97" s="195"/>
      <c r="AN97" s="195"/>
      <c r="AO97" s="195"/>
      <c r="AP97" s="195"/>
      <c r="AQ97" s="195"/>
      <c r="AR97" s="195"/>
      <c r="AS97" s="195"/>
      <c r="AT97" s="195"/>
    </row>
    <row r="98" spans="2:66" ht="14.25">
      <c r="B98" s="154"/>
      <c r="C98" s="155"/>
      <c r="D98" s="155"/>
      <c r="E98" s="155"/>
      <c r="F98" s="155"/>
      <c r="G98" s="155"/>
      <c r="H98" s="921"/>
      <c r="I98" s="167"/>
      <c r="J98" s="138"/>
      <c r="K98" s="138"/>
      <c r="L98" s="138"/>
      <c r="M98" s="138"/>
      <c r="N98" s="138"/>
      <c r="O98" s="138"/>
      <c r="P98" s="138"/>
      <c r="Q98" s="138"/>
      <c r="R98" s="138"/>
      <c r="S98" s="138"/>
      <c r="T98" s="138"/>
      <c r="U98" s="138"/>
      <c r="V98" s="138"/>
      <c r="W98" s="138"/>
      <c r="X98" s="138"/>
      <c r="Y98" s="138"/>
      <c r="Z98" s="138"/>
      <c r="AA98" s="138"/>
      <c r="AB98" s="138"/>
      <c r="AC98" s="138"/>
      <c r="AD98" s="195"/>
      <c r="AE98" s="195"/>
      <c r="AF98" s="195"/>
      <c r="AG98" s="195"/>
      <c r="AH98" s="195"/>
      <c r="AI98" s="195"/>
      <c r="AJ98" s="195"/>
      <c r="AK98" s="195"/>
      <c r="AL98" s="195"/>
      <c r="AM98" s="195"/>
      <c r="AN98" s="195"/>
      <c r="AO98" s="195"/>
      <c r="AP98" s="195"/>
      <c r="AQ98" s="195"/>
      <c r="AR98" s="195"/>
      <c r="AS98" s="195"/>
      <c r="AT98" s="195"/>
    </row>
    <row r="99" spans="2:66" ht="16.5" thickBot="1">
      <c r="B99" s="778" t="s">
        <v>517</v>
      </c>
      <c r="C99" s="152"/>
      <c r="D99" s="152"/>
      <c r="E99" s="152"/>
      <c r="F99" s="152"/>
      <c r="G99" s="152"/>
      <c r="H99" s="152"/>
      <c r="I99" s="153"/>
      <c r="J99" s="128"/>
      <c r="K99" s="128"/>
      <c r="L99" s="128"/>
      <c r="M99" s="128"/>
      <c r="N99" s="128"/>
      <c r="O99" s="128"/>
      <c r="P99" s="128"/>
      <c r="Q99" s="128"/>
      <c r="R99" s="128"/>
      <c r="S99" s="128"/>
      <c r="T99" s="128"/>
      <c r="U99" s="128"/>
      <c r="V99" s="128"/>
      <c r="W99" s="128"/>
      <c r="X99" s="128"/>
      <c r="Y99" s="128"/>
      <c r="Z99" s="128"/>
      <c r="AA99" s="128"/>
      <c r="AB99" s="128"/>
      <c r="AC99" s="128"/>
      <c r="AD99" s="195"/>
      <c r="AE99" s="195"/>
      <c r="AF99" s="195"/>
      <c r="AG99" s="195"/>
      <c r="AH99" s="195"/>
      <c r="AI99" s="195"/>
      <c r="AJ99" s="195"/>
      <c r="AK99" s="195"/>
      <c r="AL99" s="195"/>
      <c r="AM99" s="195"/>
      <c r="AN99" s="195"/>
      <c r="AO99" s="195"/>
      <c r="AP99" s="195"/>
      <c r="AQ99" s="195"/>
      <c r="AR99" s="195"/>
      <c r="AS99" s="195"/>
      <c r="AT99" s="195"/>
    </row>
    <row r="100" spans="2:66" ht="47.25" customHeight="1">
      <c r="B100" s="169"/>
      <c r="C100" s="1109" t="s">
        <v>516</v>
      </c>
      <c r="D100" s="1109"/>
      <c r="E100" s="1109" t="str">
        <f>"After approximately "&amp;ROUND(-$D$30*100,0)&amp;"% reduction in average water use"</f>
        <v>After approximately 15% reduction in average water use</v>
      </c>
      <c r="F100" s="1109"/>
      <c r="G100" s="1153" t="s">
        <v>333</v>
      </c>
      <c r="H100" s="1154"/>
      <c r="I100" s="782"/>
      <c r="J100" s="131"/>
      <c r="K100" s="128"/>
      <c r="L100" s="128"/>
      <c r="M100" s="128"/>
      <c r="N100" s="128"/>
      <c r="O100" s="128"/>
      <c r="P100" s="128"/>
      <c r="Q100" s="128"/>
      <c r="R100" s="128"/>
      <c r="S100" s="128"/>
      <c r="T100" s="128"/>
      <c r="U100" s="128"/>
      <c r="V100" s="128"/>
      <c r="W100" s="128"/>
      <c r="X100" s="128"/>
      <c r="Y100" s="128"/>
      <c r="Z100" s="128"/>
      <c r="AA100" s="128"/>
      <c r="AB100" s="128"/>
      <c r="AC100" s="128"/>
      <c r="AD100" s="195"/>
      <c r="AE100" s="195"/>
      <c r="AF100" s="195"/>
      <c r="AG100" s="195"/>
      <c r="AH100" s="195"/>
      <c r="AI100" s="195"/>
      <c r="AJ100" s="195"/>
      <c r="AK100" s="195"/>
      <c r="AL100" s="195"/>
      <c r="AM100" s="195"/>
      <c r="AN100" s="195"/>
      <c r="AO100" s="195"/>
      <c r="AP100" s="195"/>
      <c r="AQ100" s="195"/>
      <c r="AR100" s="195"/>
      <c r="AS100" s="195"/>
      <c r="AT100" s="195"/>
    </row>
    <row r="101" spans="2:66" ht="15.75">
      <c r="B101" s="925" t="s">
        <v>322</v>
      </c>
      <c r="C101" s="1144">
        <f>'Revenues from COMPARATIVE Rates'!E115</f>
        <v>16419000</v>
      </c>
      <c r="D101" s="1144"/>
      <c r="E101" s="1144">
        <f>ROUND(SUM(C69:AC69),-3)</f>
        <v>14744000</v>
      </c>
      <c r="F101" s="1144"/>
      <c r="G101" s="922">
        <f>E101-C101</f>
        <v>-1675000</v>
      </c>
      <c r="H101" s="926">
        <f>G101/C101</f>
        <v>-0.10201595712284549</v>
      </c>
      <c r="I101" s="782"/>
      <c r="J101" s="128"/>
      <c r="K101" s="128"/>
      <c r="L101" s="128"/>
      <c r="M101" s="128"/>
      <c r="N101" s="128"/>
      <c r="O101" s="128"/>
      <c r="P101" s="128"/>
      <c r="Q101" s="128"/>
      <c r="R101" s="128"/>
      <c r="S101" s="128"/>
      <c r="T101" s="128"/>
      <c r="U101" s="128"/>
      <c r="V101" s="128"/>
      <c r="W101" s="128"/>
      <c r="X101" s="128"/>
      <c r="Y101" s="128"/>
      <c r="Z101" s="128"/>
      <c r="AA101" s="128"/>
      <c r="AB101" s="128"/>
      <c r="AC101" s="128"/>
      <c r="AD101" s="195"/>
      <c r="AE101" s="195"/>
      <c r="AF101" s="195"/>
      <c r="AG101" s="195"/>
      <c r="AH101" s="195"/>
      <c r="AI101" s="195"/>
      <c r="AJ101" s="195"/>
      <c r="AK101" s="195"/>
      <c r="AL101" s="195"/>
      <c r="AM101" s="195"/>
      <c r="AN101" s="195"/>
      <c r="AO101" s="195"/>
      <c r="AP101" s="195"/>
      <c r="AQ101" s="195"/>
      <c r="AR101" s="195"/>
      <c r="AS101" s="195"/>
      <c r="AT101" s="195"/>
    </row>
    <row r="102" spans="2:66" ht="14.25">
      <c r="B102" s="164" t="s">
        <v>513</v>
      </c>
      <c r="C102" s="1146">
        <f>'Revenues from COMPARATIVE Rates'!E117</f>
        <v>6915000</v>
      </c>
      <c r="D102" s="1146"/>
      <c r="E102" s="1146">
        <f>ROUND(SUM(C70:AC70),-3)</f>
        <v>6915000</v>
      </c>
      <c r="F102" s="1146"/>
      <c r="G102" s="923">
        <f>E102-C102</f>
        <v>0</v>
      </c>
      <c r="H102" s="927">
        <f>G102/C102</f>
        <v>0</v>
      </c>
      <c r="I102" s="782"/>
      <c r="J102" s="128"/>
      <c r="K102" s="128"/>
      <c r="L102" s="128"/>
      <c r="M102" s="128"/>
      <c r="N102" s="128"/>
      <c r="O102" s="128"/>
      <c r="P102" s="128"/>
      <c r="Q102" s="128"/>
      <c r="R102" s="128"/>
      <c r="S102" s="128"/>
      <c r="T102" s="128"/>
      <c r="U102" s="128"/>
      <c r="V102" s="128"/>
      <c r="W102" s="128"/>
      <c r="X102" s="128"/>
      <c r="Y102" s="128"/>
      <c r="Z102" s="128"/>
      <c r="AA102" s="128"/>
      <c r="AB102" s="128"/>
      <c r="AC102" s="128"/>
      <c r="AD102" s="195"/>
      <c r="AE102" s="195"/>
      <c r="AF102" s="195"/>
      <c r="AG102" s="195"/>
      <c r="AH102" s="195"/>
      <c r="AI102" s="195"/>
      <c r="AJ102" s="195"/>
      <c r="AK102" s="195"/>
      <c r="AL102" s="195"/>
      <c r="AM102" s="195"/>
      <c r="AN102" s="195"/>
      <c r="AO102" s="195"/>
      <c r="AP102" s="195"/>
      <c r="AQ102" s="195"/>
      <c r="AR102" s="195"/>
      <c r="AS102" s="195"/>
      <c r="AT102" s="195"/>
    </row>
    <row r="103" spans="2:66" ht="14.25">
      <c r="B103" s="164" t="s">
        <v>514</v>
      </c>
      <c r="C103" s="1146">
        <f>'Revenues from COMPARATIVE Rates'!E118</f>
        <v>9504000</v>
      </c>
      <c r="D103" s="1146"/>
      <c r="E103" s="1146">
        <f>ROUND(SUM(C71:AC71),-3)</f>
        <v>7829000</v>
      </c>
      <c r="F103" s="1146"/>
      <c r="G103" s="923">
        <f>E103-C103</f>
        <v>-1675000</v>
      </c>
      <c r="H103" s="927">
        <f>G103/C103</f>
        <v>-0.1762415824915825</v>
      </c>
      <c r="I103" s="782"/>
      <c r="J103" s="128"/>
      <c r="K103" s="128"/>
      <c r="L103" s="128"/>
      <c r="M103" s="128"/>
      <c r="N103" s="128"/>
      <c r="O103" s="128"/>
      <c r="P103" s="128"/>
      <c r="Q103" s="128"/>
      <c r="R103" s="128"/>
      <c r="S103" s="128"/>
      <c r="T103" s="128"/>
      <c r="U103" s="128"/>
      <c r="V103" s="128"/>
      <c r="W103" s="128"/>
      <c r="X103" s="128"/>
      <c r="Y103" s="128"/>
      <c r="Z103" s="128"/>
      <c r="AA103" s="128"/>
      <c r="AB103" s="128"/>
      <c r="AC103" s="128"/>
      <c r="AD103" s="195"/>
      <c r="AE103" s="195"/>
      <c r="AF103" s="195"/>
      <c r="AG103" s="195"/>
      <c r="AH103" s="195"/>
      <c r="AI103" s="195"/>
      <c r="AJ103" s="195"/>
      <c r="AK103" s="195"/>
      <c r="AL103" s="195"/>
      <c r="AM103" s="195"/>
      <c r="AN103" s="195"/>
      <c r="AO103" s="195"/>
      <c r="AP103" s="195"/>
      <c r="AQ103" s="195"/>
      <c r="AR103" s="195"/>
      <c r="AS103" s="195"/>
      <c r="AT103" s="195"/>
    </row>
    <row r="104" spans="2:66" ht="6.75" customHeight="1">
      <c r="B104" s="180"/>
      <c r="C104" s="191"/>
      <c r="D104" s="191"/>
      <c r="E104" s="924"/>
      <c r="F104" s="924"/>
      <c r="G104" s="172"/>
      <c r="H104" s="188"/>
      <c r="I104" s="153"/>
      <c r="J104" s="128"/>
      <c r="K104" s="128"/>
      <c r="L104" s="128"/>
      <c r="M104" s="128"/>
      <c r="N104" s="128"/>
      <c r="O104" s="128"/>
      <c r="P104" s="128"/>
      <c r="Q104" s="128"/>
      <c r="R104" s="128"/>
      <c r="S104" s="128"/>
      <c r="T104" s="128"/>
      <c r="U104" s="128"/>
      <c r="V104" s="128"/>
      <c r="W104" s="128"/>
      <c r="X104" s="128"/>
      <c r="Y104" s="128"/>
      <c r="Z104" s="128"/>
      <c r="AA104" s="128"/>
      <c r="AB104" s="128"/>
      <c r="AC104" s="128"/>
      <c r="AD104" s="195"/>
      <c r="AE104" s="195"/>
      <c r="AF104" s="195"/>
      <c r="AG104" s="195"/>
      <c r="AH104" s="195"/>
      <c r="AI104" s="195"/>
      <c r="AJ104" s="195"/>
      <c r="AK104" s="195"/>
      <c r="AL104" s="195"/>
      <c r="AM104" s="195"/>
      <c r="AN104" s="195"/>
      <c r="AO104" s="195"/>
      <c r="AP104" s="195"/>
      <c r="AQ104" s="195"/>
      <c r="AR104" s="195"/>
      <c r="AS104" s="195"/>
      <c r="AT104" s="195"/>
    </row>
    <row r="105" spans="2:66" ht="15" thickBot="1">
      <c r="B105" s="928" t="s">
        <v>515</v>
      </c>
      <c r="C105" s="1163">
        <f>'Revenues from COMPARATIVE Rates'!D101</f>
        <v>5097</v>
      </c>
      <c r="D105" s="1163"/>
      <c r="E105" s="1163">
        <f>(SUMPRODUCT(C68:AB68,C$8:AB$8)+AC68*AE64)/SUM(C68:AC68)</f>
        <v>4285.3050337515397</v>
      </c>
      <c r="F105" s="1163"/>
      <c r="G105" s="182"/>
      <c r="H105" s="929">
        <f>(-C105+E105)/C105</f>
        <v>-0.15924955194201693</v>
      </c>
      <c r="I105" s="153"/>
      <c r="J105" s="128"/>
      <c r="K105" s="128"/>
      <c r="L105" s="128"/>
      <c r="M105" s="128"/>
      <c r="N105" s="128"/>
      <c r="O105" s="128"/>
      <c r="P105" s="128"/>
      <c r="Q105" s="128"/>
      <c r="R105" s="128"/>
      <c r="S105" s="128"/>
      <c r="T105" s="128"/>
      <c r="U105" s="128"/>
      <c r="V105" s="128"/>
      <c r="W105" s="128"/>
      <c r="X105" s="128"/>
      <c r="Y105" s="128"/>
      <c r="Z105" s="128"/>
      <c r="AA105" s="128"/>
      <c r="AB105" s="128"/>
      <c r="AC105" s="128"/>
      <c r="AD105" s="195"/>
      <c r="AE105" s="195"/>
      <c r="AF105" s="195"/>
      <c r="AG105" s="195"/>
      <c r="AH105" s="195"/>
      <c r="AI105" s="195"/>
      <c r="AJ105" s="195"/>
      <c r="AK105" s="195"/>
      <c r="AL105" s="195"/>
      <c r="AM105" s="195"/>
      <c r="AN105" s="195"/>
      <c r="AO105" s="195"/>
      <c r="AP105" s="195"/>
      <c r="AQ105" s="195"/>
      <c r="AR105" s="195"/>
      <c r="AS105" s="195"/>
      <c r="AT105" s="195"/>
    </row>
    <row r="106" spans="2:66" ht="14.25">
      <c r="B106" s="154"/>
      <c r="C106" s="155"/>
      <c r="D106" s="155"/>
      <c r="E106" s="155"/>
      <c r="F106" s="155"/>
      <c r="G106" s="155"/>
      <c r="H106" s="921" t="s">
        <v>521</v>
      </c>
      <c r="I106" s="167"/>
      <c r="J106" s="128"/>
      <c r="K106" s="128"/>
      <c r="L106" s="128"/>
      <c r="M106" s="128"/>
      <c r="N106" s="128"/>
      <c r="O106" s="128"/>
      <c r="P106" s="128"/>
      <c r="Q106" s="128"/>
      <c r="R106" s="128"/>
      <c r="S106" s="128"/>
      <c r="T106" s="128"/>
      <c r="U106" s="128"/>
      <c r="V106" s="128"/>
      <c r="W106" s="128"/>
      <c r="X106" s="128"/>
      <c r="Y106" s="128"/>
      <c r="Z106" s="128"/>
      <c r="AA106" s="128"/>
      <c r="AB106" s="128"/>
      <c r="AC106" s="128"/>
      <c r="AD106" s="195"/>
      <c r="AE106" s="195"/>
      <c r="AF106" s="195"/>
      <c r="AG106" s="195"/>
      <c r="AH106" s="195"/>
      <c r="AI106" s="195"/>
      <c r="AJ106" s="195"/>
      <c r="AK106" s="195"/>
      <c r="AL106" s="195"/>
      <c r="AM106" s="195"/>
      <c r="AN106" s="195"/>
      <c r="AO106" s="195"/>
      <c r="AP106" s="195"/>
      <c r="AQ106" s="195"/>
      <c r="AR106" s="195"/>
      <c r="AS106" s="195"/>
      <c r="AT106" s="195"/>
    </row>
    <row r="107" spans="2:66" ht="15" thickBot="1">
      <c r="B107" s="168"/>
      <c r="C107" s="160"/>
      <c r="D107" s="160"/>
      <c r="E107" s="160"/>
      <c r="F107" s="160"/>
      <c r="G107" s="160"/>
      <c r="H107" s="160"/>
      <c r="I107" s="472"/>
      <c r="J107" s="128"/>
      <c r="K107" s="128"/>
      <c r="L107" s="128"/>
      <c r="M107" s="128"/>
      <c r="N107" s="128"/>
      <c r="O107" s="128"/>
      <c r="P107" s="128"/>
      <c r="Q107" s="128"/>
      <c r="R107" s="128"/>
      <c r="S107" s="128"/>
      <c r="T107" s="128"/>
      <c r="U107" s="128"/>
      <c r="V107" s="128"/>
      <c r="W107" s="128"/>
      <c r="X107" s="128"/>
      <c r="Y107" s="128"/>
      <c r="Z107" s="128"/>
      <c r="AA107" s="128"/>
      <c r="AB107" s="128"/>
      <c r="AC107" s="128"/>
      <c r="AD107" s="195"/>
      <c r="AE107" s="195"/>
      <c r="AF107" s="195"/>
      <c r="AG107" s="195"/>
      <c r="AH107" s="195"/>
      <c r="AI107" s="195"/>
      <c r="AJ107" s="195"/>
      <c r="AK107" s="195"/>
      <c r="AL107" s="195"/>
      <c r="AM107" s="195"/>
      <c r="AN107" s="195"/>
      <c r="AO107" s="195"/>
      <c r="AP107" s="195"/>
      <c r="AQ107" s="195"/>
      <c r="AR107" s="195"/>
      <c r="AS107" s="195"/>
      <c r="AT107" s="195"/>
    </row>
    <row r="109" spans="2:66" ht="15" thickBot="1">
      <c r="B109" s="128"/>
      <c r="C109" s="128"/>
      <c r="D109" s="128"/>
      <c r="E109" s="128"/>
      <c r="F109" s="128"/>
      <c r="G109" s="128"/>
      <c r="H109" s="128"/>
      <c r="I109" s="128"/>
      <c r="J109" s="195"/>
      <c r="K109" s="195"/>
      <c r="L109" s="195"/>
      <c r="M109" s="195"/>
      <c r="N109" s="195"/>
      <c r="O109" s="195"/>
      <c r="P109" s="128"/>
      <c r="Q109" s="128"/>
      <c r="R109" s="128"/>
      <c r="S109" s="128"/>
      <c r="T109" s="128"/>
      <c r="U109" s="128"/>
      <c r="V109" s="128"/>
      <c r="W109" s="128"/>
      <c r="X109" s="128"/>
      <c r="Y109" s="128"/>
      <c r="Z109" s="128"/>
      <c r="AA109" s="128"/>
      <c r="AB109" s="128"/>
      <c r="AC109" s="128"/>
      <c r="AD109" s="195"/>
      <c r="AE109" s="195"/>
      <c r="AF109" s="195"/>
      <c r="AG109" s="195"/>
      <c r="AH109" s="195"/>
      <c r="AI109" s="195"/>
      <c r="AJ109" s="195"/>
      <c r="AK109" s="195"/>
      <c r="AL109" s="195"/>
      <c r="AM109" s="195"/>
      <c r="AN109" s="195"/>
      <c r="AO109" s="195"/>
      <c r="AP109" s="195"/>
      <c r="AQ109" s="195"/>
      <c r="AR109" s="195"/>
      <c r="AS109" s="195"/>
      <c r="AT109" s="195"/>
    </row>
    <row r="110" spans="2:66" ht="48.75" customHeight="1">
      <c r="B110" s="1158" t="str">
        <f>"Estimated Projected Revenues with a "&amp;M32&amp;" Reduction in Average Water Use"</f>
        <v>Estimated Projected Revenues with a 10% - 20% Reduction in Average Water Use</v>
      </c>
      <c r="C110" s="1159"/>
      <c r="D110" s="1159"/>
      <c r="E110" s="1159"/>
      <c r="F110" s="1159"/>
      <c r="G110" s="1159"/>
      <c r="H110" s="1159"/>
      <c r="I110" s="1160"/>
      <c r="J110" s="466"/>
      <c r="K110" s="466"/>
      <c r="L110" s="466"/>
      <c r="M110" s="195"/>
      <c r="N110" s="195"/>
      <c r="O110" s="195"/>
      <c r="P110" s="128"/>
      <c r="Q110" s="128"/>
      <c r="R110" s="128"/>
      <c r="S110" s="128"/>
      <c r="T110" s="128"/>
      <c r="U110" s="128"/>
      <c r="V110" s="128"/>
      <c r="W110" s="128"/>
      <c r="X110" s="128"/>
      <c r="Y110" s="128"/>
      <c r="Z110" s="128"/>
      <c r="AA110" s="128"/>
      <c r="AB110" s="128"/>
      <c r="AC110" s="128"/>
      <c r="AD110" s="195"/>
      <c r="AE110" s="195"/>
      <c r="AF110" s="195"/>
      <c r="AG110" s="195"/>
      <c r="AH110" s="195"/>
      <c r="AI110" s="195"/>
      <c r="AJ110" s="195"/>
      <c r="AK110" s="195"/>
      <c r="AL110" s="195"/>
      <c r="AM110" s="195"/>
      <c r="AN110" s="195"/>
      <c r="AO110" s="195"/>
      <c r="AP110" s="195"/>
      <c r="AQ110" s="195"/>
      <c r="AR110" s="195"/>
      <c r="AS110" s="195"/>
      <c r="AT110" s="195"/>
    </row>
    <row r="111" spans="2:66" ht="16.5" thickBot="1">
      <c r="B111" s="778" t="s">
        <v>518</v>
      </c>
      <c r="C111" s="152"/>
      <c r="D111" s="152"/>
      <c r="E111" s="152"/>
      <c r="F111" s="152"/>
      <c r="G111" s="179"/>
      <c r="H111" s="179"/>
      <c r="I111" s="782"/>
      <c r="J111" s="466"/>
      <c r="K111" s="466"/>
      <c r="L111" s="466"/>
      <c r="M111" s="195"/>
      <c r="N111" s="195"/>
      <c r="O111" s="195"/>
      <c r="P111" s="128"/>
      <c r="Q111" s="128"/>
      <c r="R111" s="128"/>
      <c r="S111" s="128"/>
      <c r="T111" s="128"/>
      <c r="U111" s="128"/>
      <c r="V111" s="128"/>
      <c r="W111" s="128"/>
      <c r="X111" s="128"/>
      <c r="Y111" s="128"/>
      <c r="Z111" s="128"/>
      <c r="AA111" s="128"/>
      <c r="AB111" s="128"/>
      <c r="AC111" s="128"/>
      <c r="AD111" s="195"/>
      <c r="AE111" s="195"/>
      <c r="AF111" s="195"/>
      <c r="AG111" s="195"/>
      <c r="AH111" s="195"/>
      <c r="AI111" s="195"/>
      <c r="AJ111" s="195"/>
      <c r="AK111" s="195"/>
      <c r="AL111" s="195"/>
      <c r="AM111" s="195"/>
      <c r="AN111" s="195"/>
      <c r="AO111" s="195"/>
      <c r="AP111" s="195"/>
      <c r="AQ111" s="195"/>
      <c r="AR111" s="195"/>
      <c r="AS111" s="195"/>
      <c r="AT111" s="195"/>
    </row>
    <row r="112" spans="2:66" s="124" customFormat="1" ht="33" customHeight="1">
      <c r="B112" s="174"/>
      <c r="C112" s="1109" t="s">
        <v>325</v>
      </c>
      <c r="D112" s="1109"/>
      <c r="E112" s="1109" t="str">
        <f>-$K$32*100&amp;"% reduction in avg use"</f>
        <v>10% reduction in avg use</v>
      </c>
      <c r="F112" s="1109"/>
      <c r="G112" s="1109" t="str">
        <f>-$L$32*100&amp;"% reduction in avg use"</f>
        <v>20% reduction in avg use</v>
      </c>
      <c r="H112" s="1143"/>
      <c r="I112" s="932"/>
      <c r="J112" s="478" t="str">
        <f>"w/ "&amp;E112</f>
        <v>w/ 10% reduction in avg use</v>
      </c>
      <c r="K112" s="478" t="str">
        <f>"w/ "&amp;G112</f>
        <v>w/ 20% reduction in avg use</v>
      </c>
      <c r="L112" s="478" t="s">
        <v>198</v>
      </c>
      <c r="M112" s="198"/>
      <c r="N112" s="198"/>
      <c r="O112" s="198"/>
      <c r="P112" s="132"/>
      <c r="Q112" s="132"/>
      <c r="R112" s="132"/>
      <c r="S112" s="132"/>
      <c r="T112" s="132"/>
      <c r="U112" s="132"/>
      <c r="V112" s="132"/>
      <c r="W112" s="132"/>
      <c r="X112" s="132"/>
      <c r="Y112" s="132"/>
      <c r="Z112" s="132"/>
      <c r="AA112" s="132"/>
      <c r="AB112" s="132"/>
      <c r="AC112" s="132"/>
      <c r="AD112" s="198"/>
      <c r="AE112" s="198"/>
      <c r="AF112" s="198"/>
      <c r="AG112" s="198"/>
      <c r="AH112" s="198"/>
      <c r="AI112" s="198"/>
      <c r="AJ112" s="198"/>
      <c r="AK112" s="198"/>
      <c r="AL112" s="198"/>
      <c r="AM112" s="198"/>
      <c r="AN112" s="198"/>
      <c r="AO112" s="198"/>
      <c r="AP112" s="198"/>
      <c r="AQ112" s="198"/>
      <c r="AR112" s="198"/>
      <c r="AS112" s="198"/>
      <c r="AT112" s="198"/>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row>
    <row r="113" spans="2:46" ht="15.75">
      <c r="B113" s="925" t="s">
        <v>322</v>
      </c>
      <c r="C113" s="1144">
        <f>'Revenues from REFERENCE Rates'!$E$40</f>
        <v>15408000</v>
      </c>
      <c r="D113" s="1144"/>
      <c r="E113" s="1144">
        <f>ROUND('pred conserv percent - REFEREN'!$D$53,-3)</f>
        <v>14097000</v>
      </c>
      <c r="F113" s="1144"/>
      <c r="G113" s="1144">
        <f>ROUND('pred conserv percent - REFEREN'!$D$68,-3)</f>
        <v>13227000</v>
      </c>
      <c r="H113" s="1145"/>
      <c r="I113" s="153"/>
      <c r="J113" s="934">
        <f>E113-$C$113</f>
        <v>-1311000</v>
      </c>
      <c r="K113" s="934">
        <f>G113-$C$113</f>
        <v>-2181000</v>
      </c>
      <c r="L113" s="935"/>
      <c r="M113" s="198"/>
      <c r="N113" s="195"/>
      <c r="O113" s="195"/>
      <c r="P113" s="128"/>
      <c r="Q113" s="128"/>
      <c r="R113" s="128"/>
      <c r="S113" s="128"/>
      <c r="T113" s="128"/>
      <c r="U113" s="128"/>
      <c r="V113" s="128"/>
      <c r="W113" s="128"/>
      <c r="X113" s="128"/>
      <c r="Y113" s="128"/>
      <c r="Z113" s="128"/>
      <c r="AA113" s="128"/>
      <c r="AB113" s="128"/>
      <c r="AC113" s="128"/>
      <c r="AD113" s="195"/>
      <c r="AE113" s="195"/>
      <c r="AF113" s="195"/>
      <c r="AG113" s="195"/>
      <c r="AH113" s="195"/>
      <c r="AI113" s="195"/>
      <c r="AJ113" s="195"/>
      <c r="AK113" s="195"/>
      <c r="AL113" s="195"/>
      <c r="AM113" s="195"/>
      <c r="AN113" s="195"/>
      <c r="AO113" s="195"/>
      <c r="AP113" s="195"/>
      <c r="AQ113" s="195"/>
      <c r="AR113" s="195"/>
      <c r="AS113" s="195"/>
      <c r="AT113" s="195"/>
    </row>
    <row r="114" spans="2:46" ht="14.25">
      <c r="B114" s="164" t="s">
        <v>513</v>
      </c>
      <c r="C114" s="1146">
        <f>'Revenues from REFERENCE Rates'!$E$41</f>
        <v>4322000</v>
      </c>
      <c r="D114" s="1146"/>
      <c r="E114" s="1146">
        <f>ROUND('pred conserv percent - REFEREN'!$D$54,-3)</f>
        <v>4322000</v>
      </c>
      <c r="F114" s="1146"/>
      <c r="G114" s="1146">
        <f>ROUND('pred conserv percent - REFEREN'!$D$69,-3)</f>
        <v>4322000</v>
      </c>
      <c r="H114" s="1147"/>
      <c r="I114" s="153"/>
      <c r="J114" s="936">
        <f>J113/$C$113</f>
        <v>-8.5085669781931467E-2</v>
      </c>
      <c r="K114" s="936">
        <f>K113/$C$113</f>
        <v>-0.14154984423676012</v>
      </c>
      <c r="L114" s="478"/>
      <c r="M114" s="198"/>
      <c r="N114" s="195"/>
      <c r="O114" s="195"/>
      <c r="P114" s="128"/>
      <c r="Q114" s="128"/>
      <c r="R114" s="128"/>
      <c r="S114" s="128"/>
      <c r="T114" s="128"/>
      <c r="U114" s="128"/>
      <c r="V114" s="128"/>
      <c r="W114" s="128"/>
      <c r="X114" s="128"/>
      <c r="Y114" s="128"/>
      <c r="Z114" s="128"/>
      <c r="AA114" s="128"/>
      <c r="AB114" s="128"/>
      <c r="AC114" s="128"/>
      <c r="AD114" s="195"/>
      <c r="AE114" s="195"/>
      <c r="AF114" s="195"/>
      <c r="AG114" s="195"/>
      <c r="AH114" s="195"/>
      <c r="AI114" s="195"/>
      <c r="AJ114" s="195"/>
      <c r="AK114" s="195"/>
      <c r="AL114" s="195"/>
      <c r="AM114" s="195"/>
      <c r="AN114" s="195"/>
      <c r="AO114" s="195"/>
      <c r="AP114" s="195"/>
      <c r="AQ114" s="195"/>
      <c r="AR114" s="195"/>
      <c r="AS114" s="195"/>
      <c r="AT114" s="195"/>
    </row>
    <row r="115" spans="2:46" ht="15" thickBot="1">
      <c r="B115" s="173" t="s">
        <v>514</v>
      </c>
      <c r="C115" s="1148">
        <f>'Revenues from REFERENCE Rates'!$E$42</f>
        <v>11086000</v>
      </c>
      <c r="D115" s="1148"/>
      <c r="E115" s="1148">
        <f>ROUND('pred conserv percent - REFEREN'!$D$55,-3)</f>
        <v>9775000</v>
      </c>
      <c r="F115" s="1148"/>
      <c r="G115" s="1148">
        <f>ROUND('pred conserv percent - REFEREN'!$D$70,-3)</f>
        <v>8905000</v>
      </c>
      <c r="H115" s="1149"/>
      <c r="I115" s="153"/>
      <c r="J115" s="478"/>
      <c r="K115" s="478"/>
      <c r="L115" s="478"/>
      <c r="M115" s="198"/>
      <c r="N115" s="195"/>
      <c r="O115" s="195"/>
      <c r="P115" s="128"/>
      <c r="Q115" s="128"/>
      <c r="R115" s="128"/>
      <c r="S115" s="128"/>
      <c r="T115" s="128"/>
      <c r="U115" s="128"/>
      <c r="V115" s="128"/>
      <c r="W115" s="128"/>
      <c r="X115" s="128"/>
      <c r="Y115" s="128"/>
      <c r="Z115" s="128"/>
      <c r="AA115" s="128"/>
      <c r="AB115" s="128"/>
      <c r="AC115" s="128"/>
      <c r="AD115" s="195"/>
      <c r="AE115" s="195"/>
      <c r="AF115" s="195"/>
      <c r="AG115" s="195"/>
      <c r="AH115" s="195"/>
      <c r="AI115" s="195"/>
      <c r="AJ115" s="195"/>
      <c r="AK115" s="195"/>
      <c r="AL115" s="195"/>
      <c r="AM115" s="195"/>
      <c r="AN115" s="195"/>
      <c r="AO115" s="195"/>
      <c r="AP115" s="195"/>
      <c r="AQ115" s="195"/>
      <c r="AR115" s="195"/>
      <c r="AS115" s="195"/>
      <c r="AT115" s="195"/>
    </row>
    <row r="116" spans="2:46" ht="14.25">
      <c r="B116" s="154"/>
      <c r="C116" s="155"/>
      <c r="D116" s="155"/>
      <c r="E116" s="155"/>
      <c r="F116" s="152"/>
      <c r="G116" s="152"/>
      <c r="H116" s="152"/>
      <c r="I116" s="153"/>
      <c r="J116" s="478"/>
      <c r="K116" s="478"/>
      <c r="L116" s="478"/>
      <c r="M116" s="198"/>
      <c r="N116" s="195"/>
      <c r="O116" s="195"/>
      <c r="P116" s="128"/>
      <c r="Q116" s="128"/>
      <c r="R116" s="128"/>
      <c r="S116" s="128"/>
      <c r="T116" s="128"/>
      <c r="U116" s="128"/>
      <c r="V116" s="128"/>
      <c r="W116" s="128"/>
      <c r="X116" s="128"/>
      <c r="Y116" s="128"/>
      <c r="Z116" s="128"/>
      <c r="AA116" s="128"/>
      <c r="AB116" s="128"/>
      <c r="AC116" s="128"/>
      <c r="AD116" s="195"/>
      <c r="AE116" s="195"/>
      <c r="AF116" s="195"/>
      <c r="AG116" s="195"/>
      <c r="AH116" s="195"/>
      <c r="AI116" s="195"/>
      <c r="AJ116" s="195"/>
      <c r="AK116" s="195"/>
      <c r="AL116" s="195"/>
      <c r="AM116" s="195"/>
      <c r="AN116" s="195"/>
      <c r="AO116" s="195"/>
      <c r="AP116" s="195"/>
      <c r="AQ116" s="195"/>
      <c r="AR116" s="195"/>
      <c r="AS116" s="195"/>
      <c r="AT116" s="195"/>
    </row>
    <row r="117" spans="2:46" ht="33" customHeight="1">
      <c r="B117" s="1164" t="str">
        <f>"Therefore, based on the REFERENCE rate structure and "&amp;M32&amp;" reduction in average water use, it is expected that total annual revenues may decline by 
"&amp;ROUND(-J114*100,1)&amp;"% - "&amp;ROUND(-K114*100,1)&amp;"%. If average customer demand drops by more than "&amp;ROUND(ABS($L$32)*100,0)&amp;"%, expected revenues will be even lower than this range."</f>
        <v>Therefore, based on the REFERENCE rate structure and 10% - 20% reduction in average water use, it is expected that total annual revenues may decline by 
8.5% - 14.2%. If average customer demand drops by more than 20%, expected revenues will be even lower than this range.</v>
      </c>
      <c r="C117" s="1086"/>
      <c r="D117" s="1086"/>
      <c r="E117" s="1086"/>
      <c r="F117" s="1086"/>
      <c r="G117" s="1086"/>
      <c r="H117" s="1086"/>
      <c r="I117" s="1165"/>
      <c r="J117" s="937"/>
      <c r="K117" s="937"/>
      <c r="L117" s="937"/>
      <c r="M117" s="148"/>
      <c r="N117" s="128"/>
      <c r="O117" s="128"/>
      <c r="P117" s="128"/>
      <c r="Q117" s="128"/>
      <c r="R117" s="128"/>
      <c r="S117" s="128"/>
      <c r="T117" s="128"/>
      <c r="U117" s="128"/>
      <c r="V117" s="128"/>
      <c r="W117" s="128"/>
      <c r="X117" s="128"/>
      <c r="Y117" s="128"/>
      <c r="Z117" s="128"/>
      <c r="AA117" s="128"/>
      <c r="AB117" s="128"/>
      <c r="AC117" s="128"/>
      <c r="AD117" s="195"/>
      <c r="AE117" s="195"/>
      <c r="AF117" s="195"/>
      <c r="AG117" s="195"/>
      <c r="AH117" s="195"/>
      <c r="AI117" s="195"/>
      <c r="AJ117" s="195"/>
      <c r="AK117" s="195"/>
      <c r="AL117" s="195"/>
      <c r="AM117" s="195"/>
      <c r="AN117" s="195"/>
      <c r="AO117" s="195"/>
      <c r="AP117" s="195"/>
      <c r="AQ117" s="195"/>
      <c r="AR117" s="195"/>
      <c r="AS117" s="195"/>
      <c r="AT117" s="195"/>
    </row>
    <row r="118" spans="2:46" ht="24.75" customHeight="1">
      <c r="B118" s="156"/>
      <c r="C118" s="157"/>
      <c r="D118" s="157"/>
      <c r="E118" s="157"/>
      <c r="F118" s="157"/>
      <c r="G118" s="157"/>
      <c r="H118" s="157"/>
      <c r="I118" s="158"/>
      <c r="J118" s="937"/>
      <c r="K118" s="937"/>
      <c r="L118" s="937"/>
      <c r="M118" s="148"/>
      <c r="N118" s="128"/>
      <c r="O118" s="128"/>
      <c r="P118" s="128"/>
      <c r="Q118" s="128"/>
      <c r="R118" s="128"/>
      <c r="S118" s="128"/>
      <c r="T118" s="128"/>
      <c r="U118" s="128"/>
      <c r="V118" s="128"/>
      <c r="W118" s="128"/>
      <c r="X118" s="128"/>
      <c r="Y118" s="128"/>
      <c r="Z118" s="128"/>
      <c r="AA118" s="128"/>
      <c r="AB118" s="128"/>
      <c r="AC118" s="128"/>
      <c r="AD118" s="195"/>
      <c r="AE118" s="195"/>
      <c r="AF118" s="195"/>
      <c r="AG118" s="195"/>
      <c r="AH118" s="195"/>
      <c r="AI118" s="195"/>
      <c r="AJ118" s="195"/>
      <c r="AK118" s="195"/>
      <c r="AL118" s="195"/>
      <c r="AM118" s="195"/>
      <c r="AN118" s="195"/>
      <c r="AO118" s="195"/>
      <c r="AP118" s="195"/>
      <c r="AQ118" s="195"/>
      <c r="AR118" s="195"/>
      <c r="AS118" s="195"/>
      <c r="AT118" s="195"/>
    </row>
    <row r="119" spans="2:46" ht="16.5" thickBot="1">
      <c r="B119" s="778" t="s">
        <v>517</v>
      </c>
      <c r="C119" s="157"/>
      <c r="D119" s="157"/>
      <c r="E119" s="157"/>
      <c r="F119" s="157"/>
      <c r="G119" s="933"/>
      <c r="H119" s="933"/>
      <c r="I119" s="938"/>
      <c r="J119" s="937"/>
      <c r="K119" s="937"/>
      <c r="L119" s="937"/>
      <c r="M119" s="148"/>
      <c r="N119" s="128"/>
      <c r="O119" s="128"/>
      <c r="P119" s="128"/>
      <c r="Q119" s="128"/>
      <c r="R119" s="128"/>
      <c r="S119" s="128"/>
      <c r="T119" s="128"/>
      <c r="U119" s="128"/>
      <c r="V119" s="128"/>
      <c r="W119" s="128"/>
      <c r="X119" s="128"/>
      <c r="Y119" s="128"/>
      <c r="Z119" s="128"/>
      <c r="AA119" s="128"/>
      <c r="AB119" s="128"/>
      <c r="AC119" s="128"/>
      <c r="AD119" s="195"/>
      <c r="AE119" s="195"/>
      <c r="AF119" s="195"/>
      <c r="AG119" s="195"/>
      <c r="AH119" s="195"/>
      <c r="AI119" s="195"/>
      <c r="AJ119" s="195"/>
      <c r="AK119" s="195"/>
      <c r="AL119" s="195"/>
      <c r="AM119" s="195"/>
      <c r="AN119" s="195"/>
      <c r="AO119" s="195"/>
      <c r="AP119" s="195"/>
      <c r="AQ119" s="195"/>
      <c r="AR119" s="195"/>
      <c r="AS119" s="195"/>
      <c r="AT119" s="195"/>
    </row>
    <row r="120" spans="2:46" ht="31.5" customHeight="1">
      <c r="B120" s="174"/>
      <c r="C120" s="1109" t="s">
        <v>520</v>
      </c>
      <c r="D120" s="1109"/>
      <c r="E120" s="1109" t="str">
        <f>-$K$32*100&amp;"% reduction in avg use"</f>
        <v>10% reduction in avg use</v>
      </c>
      <c r="F120" s="1109"/>
      <c r="G120" s="1109" t="str">
        <f>-$L$32*100&amp;"% reduction in avg use"</f>
        <v>20% reduction in avg use</v>
      </c>
      <c r="H120" s="1143"/>
      <c r="I120" s="782"/>
      <c r="J120" s="478" t="str">
        <f>"w/ "&amp;E120</f>
        <v>w/ 10% reduction in avg use</v>
      </c>
      <c r="K120" s="478" t="str">
        <f>"w/ "&amp;G120</f>
        <v>w/ 20% reduction in avg use</v>
      </c>
      <c r="L120" s="478" t="s">
        <v>198</v>
      </c>
      <c r="M120" s="135"/>
      <c r="N120" s="128"/>
      <c r="O120" s="128"/>
      <c r="P120" s="128"/>
      <c r="Q120" s="128"/>
      <c r="R120" s="128"/>
      <c r="S120" s="128"/>
      <c r="T120" s="128"/>
      <c r="U120" s="128"/>
      <c r="V120" s="128"/>
      <c r="W120" s="128"/>
      <c r="X120" s="128"/>
      <c r="Y120" s="128"/>
      <c r="Z120" s="128"/>
      <c r="AA120" s="128"/>
      <c r="AB120" s="128"/>
      <c r="AC120" s="128"/>
      <c r="AD120" s="195"/>
      <c r="AE120" s="195"/>
      <c r="AF120" s="195"/>
      <c r="AG120" s="195"/>
      <c r="AH120" s="195"/>
      <c r="AI120" s="195"/>
      <c r="AJ120" s="195"/>
      <c r="AK120" s="195"/>
      <c r="AL120" s="195"/>
      <c r="AM120" s="195"/>
      <c r="AN120" s="195"/>
      <c r="AO120" s="195"/>
      <c r="AP120" s="195"/>
      <c r="AQ120" s="195"/>
      <c r="AR120" s="195"/>
      <c r="AS120" s="195"/>
      <c r="AT120" s="195"/>
    </row>
    <row r="121" spans="2:46" ht="15.75">
      <c r="B121" s="925" t="s">
        <v>322</v>
      </c>
      <c r="C121" s="1144">
        <f>'Revenues from COMPARATIVE Rates'!E115</f>
        <v>16419000</v>
      </c>
      <c r="D121" s="1144"/>
      <c r="E121" s="1144">
        <f>ROUND('pred conserv percent - COMPAR'!$D$53,-3)</f>
        <v>15100000</v>
      </c>
      <c r="F121" s="1144"/>
      <c r="G121" s="1144">
        <f>ROUND('pred conserv percent - COMPAR'!$D$68,-3)</f>
        <v>14252000</v>
      </c>
      <c r="H121" s="1145"/>
      <c r="I121" s="782"/>
      <c r="J121" s="934">
        <f>E121-$C$121</f>
        <v>-1319000</v>
      </c>
      <c r="K121" s="934">
        <f>G121-$C$121</f>
        <v>-2167000</v>
      </c>
      <c r="L121" s="478"/>
      <c r="M121" s="135"/>
      <c r="N121" s="128"/>
      <c r="O121" s="128"/>
      <c r="P121" s="128"/>
      <c r="Q121" s="128"/>
      <c r="R121" s="128"/>
      <c r="S121" s="128"/>
      <c r="T121" s="128"/>
      <c r="U121" s="128"/>
      <c r="V121" s="128"/>
      <c r="W121" s="128"/>
      <c r="X121" s="128"/>
      <c r="Y121" s="128"/>
      <c r="Z121" s="128"/>
      <c r="AA121" s="128"/>
      <c r="AB121" s="128"/>
      <c r="AC121" s="128"/>
      <c r="AD121" s="195"/>
      <c r="AE121" s="195"/>
      <c r="AF121" s="195"/>
      <c r="AG121" s="195"/>
      <c r="AH121" s="195"/>
      <c r="AI121" s="195"/>
      <c r="AJ121" s="195"/>
      <c r="AK121" s="195"/>
      <c r="AL121" s="195"/>
      <c r="AM121" s="195"/>
      <c r="AN121" s="195"/>
      <c r="AO121" s="195"/>
      <c r="AP121" s="195"/>
      <c r="AQ121" s="195"/>
      <c r="AR121" s="195"/>
      <c r="AS121" s="195"/>
      <c r="AT121" s="195"/>
    </row>
    <row r="122" spans="2:46" ht="14.25">
      <c r="B122" s="164" t="s">
        <v>513</v>
      </c>
      <c r="C122" s="1146">
        <f>'Revenues from COMPARATIVE Rates'!E117</f>
        <v>6915000</v>
      </c>
      <c r="D122" s="1146"/>
      <c r="E122" s="1146">
        <f>ROUND('pred conserv percent - COMPAR'!$D$54,-3)</f>
        <v>6915000</v>
      </c>
      <c r="F122" s="1146"/>
      <c r="G122" s="1146">
        <f>ROUND('pred conserv percent - COMPAR'!$D$69,-3)</f>
        <v>6915000</v>
      </c>
      <c r="H122" s="1147"/>
      <c r="I122" s="782"/>
      <c r="J122" s="936">
        <f>J121/$C$121</f>
        <v>-8.0333759668676535E-2</v>
      </c>
      <c r="K122" s="936">
        <f>K121/$C$121</f>
        <v>-0.13198124124489921</v>
      </c>
      <c r="L122" s="478"/>
      <c r="M122" s="135"/>
      <c r="N122" s="135"/>
      <c r="O122" s="135"/>
      <c r="P122" s="135"/>
      <c r="Q122" s="135"/>
      <c r="R122" s="128"/>
      <c r="S122" s="128"/>
      <c r="T122" s="128"/>
      <c r="U122" s="128"/>
      <c r="V122" s="128"/>
      <c r="W122" s="128"/>
      <c r="X122" s="128"/>
      <c r="Y122" s="128"/>
      <c r="Z122" s="128"/>
      <c r="AA122" s="128"/>
      <c r="AB122" s="128"/>
      <c r="AC122" s="128"/>
      <c r="AD122" s="195"/>
      <c r="AE122" s="195"/>
      <c r="AF122" s="195"/>
      <c r="AG122" s="195"/>
      <c r="AH122" s="195"/>
      <c r="AI122" s="195"/>
      <c r="AJ122" s="195"/>
      <c r="AK122" s="195"/>
      <c r="AL122" s="195"/>
      <c r="AM122" s="195"/>
      <c r="AN122" s="195"/>
      <c r="AO122" s="195"/>
      <c r="AP122" s="195"/>
      <c r="AQ122" s="195"/>
      <c r="AR122" s="195"/>
      <c r="AS122" s="195"/>
      <c r="AT122" s="195"/>
    </row>
    <row r="123" spans="2:46" ht="15" thickBot="1">
      <c r="B123" s="173" t="s">
        <v>514</v>
      </c>
      <c r="C123" s="1148">
        <f>'Revenues from COMPARATIVE Rates'!E118</f>
        <v>9504000</v>
      </c>
      <c r="D123" s="1148"/>
      <c r="E123" s="1148">
        <f>ROUND('pred conserv percent - COMPAR'!$D$55,-3)</f>
        <v>8185000</v>
      </c>
      <c r="F123" s="1148"/>
      <c r="G123" s="1148">
        <f>ROUND('pred conserv percent - COMPAR'!$D$70,-3)</f>
        <v>7337000</v>
      </c>
      <c r="H123" s="1149"/>
      <c r="I123" s="782"/>
      <c r="J123" s="478"/>
      <c r="K123" s="478"/>
      <c r="L123" s="478"/>
      <c r="M123" s="135"/>
      <c r="N123" s="135"/>
      <c r="O123" s="135"/>
      <c r="P123" s="135"/>
      <c r="Q123" s="135"/>
      <c r="R123" s="128"/>
      <c r="S123" s="128"/>
      <c r="T123" s="128"/>
      <c r="U123" s="128"/>
      <c r="V123" s="128"/>
      <c r="W123" s="128"/>
      <c r="X123" s="128"/>
      <c r="Y123" s="128"/>
      <c r="Z123" s="128"/>
      <c r="AA123" s="128"/>
      <c r="AB123" s="128"/>
      <c r="AC123" s="128"/>
      <c r="AD123" s="195"/>
      <c r="AE123" s="195"/>
      <c r="AF123" s="195"/>
      <c r="AG123" s="195"/>
      <c r="AH123" s="195"/>
      <c r="AI123" s="195"/>
      <c r="AJ123" s="195"/>
      <c r="AK123" s="195"/>
      <c r="AL123" s="195"/>
      <c r="AM123" s="195"/>
      <c r="AN123" s="195"/>
      <c r="AO123" s="195"/>
      <c r="AP123" s="195"/>
      <c r="AQ123" s="195"/>
      <c r="AR123" s="195"/>
      <c r="AS123" s="195"/>
      <c r="AT123" s="195"/>
    </row>
    <row r="124" spans="2:46" ht="14.25">
      <c r="B124" s="154"/>
      <c r="C124" s="155"/>
      <c r="D124" s="155"/>
      <c r="E124" s="155"/>
      <c r="F124" s="920"/>
      <c r="G124" s="179"/>
      <c r="H124" s="179"/>
      <c r="I124" s="782"/>
      <c r="J124" s="478"/>
      <c r="K124" s="478"/>
      <c r="L124" s="478"/>
      <c r="M124" s="135"/>
      <c r="N124" s="135"/>
      <c r="O124" s="135"/>
      <c r="P124" s="135"/>
      <c r="Q124" s="135"/>
      <c r="R124" s="128"/>
      <c r="S124" s="128"/>
      <c r="T124" s="128"/>
      <c r="U124" s="128"/>
      <c r="V124" s="128"/>
      <c r="W124" s="128"/>
      <c r="X124" s="128"/>
      <c r="Y124" s="128"/>
      <c r="Z124" s="128"/>
      <c r="AA124" s="128"/>
      <c r="AB124" s="128"/>
      <c r="AC124" s="128"/>
      <c r="AD124" s="195"/>
      <c r="AE124" s="195"/>
      <c r="AF124" s="195"/>
      <c r="AG124" s="195"/>
      <c r="AH124" s="195"/>
      <c r="AI124" s="195"/>
      <c r="AJ124" s="195"/>
      <c r="AK124" s="195"/>
      <c r="AL124" s="195"/>
      <c r="AM124" s="195"/>
      <c r="AN124" s="195"/>
      <c r="AO124" s="195"/>
      <c r="AP124" s="195"/>
      <c r="AQ124" s="195"/>
      <c r="AR124" s="195"/>
      <c r="AS124" s="195"/>
      <c r="AT124" s="195"/>
    </row>
    <row r="125" spans="2:46" ht="33" customHeight="1">
      <c r="B125" s="1164" t="str">
        <f>"Therefore, based on COMPARATIVE rate structure, price elasticities, and "&amp;M32&amp;" additional reduction in average water use, it is expected that total annual revenues may decline by "&amp;ROUND(-J122*100,1)&amp;"% - "&amp;ROUND(-K122*100,1)&amp;"%. If average customer demand drops by more than "&amp;ROUND(ABS($L$32)*100,0)&amp;"%, expected revenues will be even lower than this range."</f>
        <v>Therefore, based on COMPARATIVE rate structure, price elasticities, and 10% - 20% additional reduction in average water use, it is expected that total annual revenues may decline by 8% - 13.2%. If average customer demand drops by more than 20%, expected revenues will be even lower than this range.</v>
      </c>
      <c r="C125" s="1086"/>
      <c r="D125" s="1086"/>
      <c r="E125" s="1086"/>
      <c r="F125" s="1086"/>
      <c r="G125" s="1086"/>
      <c r="H125" s="1086"/>
      <c r="I125" s="1165"/>
      <c r="J125" s="148"/>
      <c r="K125" s="148"/>
      <c r="L125" s="148"/>
      <c r="M125" s="148"/>
      <c r="N125" s="135"/>
      <c r="O125" s="135"/>
      <c r="P125" s="135"/>
      <c r="Q125" s="135"/>
      <c r="R125" s="128"/>
      <c r="S125" s="128"/>
      <c r="T125" s="128"/>
      <c r="U125" s="128"/>
      <c r="V125" s="128"/>
      <c r="W125" s="128"/>
      <c r="X125" s="128"/>
      <c r="Y125" s="128"/>
      <c r="Z125" s="128"/>
      <c r="AA125" s="128"/>
      <c r="AB125" s="128"/>
      <c r="AC125" s="128"/>
      <c r="AD125" s="195"/>
      <c r="AE125" s="195"/>
      <c r="AF125" s="195"/>
      <c r="AG125" s="195"/>
      <c r="AH125" s="195"/>
      <c r="AI125" s="195"/>
      <c r="AJ125" s="195"/>
      <c r="AK125" s="195"/>
      <c r="AL125" s="195"/>
      <c r="AM125" s="195"/>
      <c r="AN125" s="195"/>
      <c r="AO125" s="195"/>
      <c r="AP125" s="195"/>
      <c r="AQ125" s="195"/>
      <c r="AR125" s="195"/>
      <c r="AS125" s="195"/>
      <c r="AT125" s="195"/>
    </row>
    <row r="126" spans="2:46" ht="15" thickBot="1">
      <c r="B126" s="159"/>
      <c r="C126" s="160"/>
      <c r="D126" s="160"/>
      <c r="E126" s="160"/>
      <c r="F126" s="160"/>
      <c r="G126" s="161"/>
      <c r="H126" s="161"/>
      <c r="I126" s="162"/>
      <c r="J126" s="135"/>
      <c r="K126" s="135"/>
      <c r="L126" s="135"/>
      <c r="M126" s="135"/>
      <c r="N126" s="135"/>
      <c r="O126" s="135"/>
      <c r="P126" s="135"/>
      <c r="Q126" s="135"/>
      <c r="R126" s="128"/>
      <c r="S126" s="128"/>
      <c r="T126" s="128"/>
      <c r="U126" s="128"/>
      <c r="V126" s="128"/>
      <c r="W126" s="128"/>
      <c r="X126" s="128"/>
      <c r="Y126" s="128"/>
      <c r="Z126" s="128"/>
      <c r="AA126" s="128"/>
      <c r="AB126" s="128"/>
      <c r="AC126" s="128"/>
      <c r="AD126" s="195"/>
      <c r="AE126" s="195"/>
      <c r="AF126" s="195"/>
      <c r="AG126" s="195"/>
      <c r="AH126" s="195"/>
      <c r="AI126" s="195"/>
      <c r="AJ126" s="195"/>
      <c r="AK126" s="195"/>
      <c r="AL126" s="195"/>
      <c r="AM126" s="195"/>
      <c r="AN126" s="195"/>
      <c r="AO126" s="195"/>
      <c r="AP126" s="195"/>
      <c r="AQ126" s="195"/>
      <c r="AR126" s="195"/>
      <c r="AS126" s="195"/>
      <c r="AT126" s="195"/>
    </row>
    <row r="127" spans="2:46" ht="12.75" customHeight="1">
      <c r="B127" s="1037"/>
      <c r="C127" s="1037"/>
      <c r="D127" s="1037"/>
      <c r="E127" s="1037"/>
      <c r="F127" s="1037"/>
      <c r="G127" s="1037"/>
      <c r="H127" s="1037"/>
      <c r="I127" s="1037"/>
      <c r="J127" s="425"/>
      <c r="K127" s="425"/>
      <c r="L127" s="425"/>
      <c r="M127" s="425"/>
      <c r="N127" s="425"/>
      <c r="O127" s="425"/>
    </row>
    <row r="128" spans="2:46" s="939" customFormat="1"/>
    <row r="129" spans="2:46" s="337" customFormat="1" ht="14.25">
      <c r="B129" s="466" t="s">
        <v>206</v>
      </c>
      <c r="C129" s="466" t="s">
        <v>326</v>
      </c>
      <c r="D129" s="466"/>
      <c r="E129" s="466"/>
      <c r="F129" s="466"/>
      <c r="G129" s="466"/>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6"/>
      <c r="AL129" s="466"/>
      <c r="AM129" s="466"/>
      <c r="AN129" s="466"/>
      <c r="AO129" s="466"/>
      <c r="AP129" s="466"/>
      <c r="AQ129" s="466"/>
      <c r="AR129" s="466"/>
      <c r="AS129" s="466"/>
      <c r="AT129" s="466"/>
    </row>
    <row r="130" spans="2:46" s="337" customFormat="1" ht="16.5" customHeight="1">
      <c r="B130" s="466"/>
      <c r="C130" s="478" t="str">
        <f>"Under COMPARATIVE rates and with a conservation program that will lead to average demands declining by "&amp;ROUND(-D30*100,1)&amp;"%"</f>
        <v>Under COMPARATIVE rates and with a conservation program that will lead to average demands declining by 15%</v>
      </c>
      <c r="D130" s="466"/>
      <c r="E130" s="466"/>
      <c r="F130" s="466"/>
      <c r="G130" s="466"/>
      <c r="H130" s="466"/>
      <c r="I130" s="478"/>
      <c r="J130" s="466"/>
      <c r="K130" s="466"/>
      <c r="L130" s="466"/>
      <c r="M130" s="466"/>
      <c r="N130" s="466"/>
      <c r="O130" s="466"/>
      <c r="P130" s="466"/>
      <c r="Q130" s="466"/>
      <c r="R130" s="466"/>
      <c r="S130" s="466"/>
      <c r="T130" s="466"/>
      <c r="U130" s="466"/>
      <c r="V130" s="466"/>
      <c r="W130" s="466"/>
      <c r="X130" s="466"/>
      <c r="Y130" s="466"/>
      <c r="Z130" s="466"/>
      <c r="AA130" s="466"/>
      <c r="AB130" s="466"/>
      <c r="AC130" s="466"/>
      <c r="AD130" s="466"/>
      <c r="AE130" s="466"/>
      <c r="AF130" s="466"/>
      <c r="AG130" s="466"/>
      <c r="AH130" s="466"/>
      <c r="AI130" s="466"/>
      <c r="AJ130" s="466"/>
      <c r="AK130" s="466"/>
      <c r="AL130" s="466"/>
      <c r="AM130" s="466"/>
      <c r="AN130" s="466"/>
      <c r="AO130" s="466"/>
      <c r="AP130" s="466"/>
      <c r="AQ130" s="466"/>
      <c r="AR130" s="466"/>
      <c r="AS130" s="466"/>
      <c r="AT130" s="466"/>
    </row>
    <row r="131" spans="2:46" s="337" customFormat="1" ht="14.25">
      <c r="B131" s="466"/>
      <c r="C131" s="466"/>
      <c r="D131" s="466"/>
      <c r="E131" s="466"/>
      <c r="F131" s="466"/>
      <c r="G131" s="466"/>
      <c r="H131" s="466"/>
      <c r="I131" s="466"/>
      <c r="J131" s="466"/>
      <c r="K131" s="466"/>
      <c r="L131" s="466"/>
      <c r="M131" s="466"/>
      <c r="N131" s="466"/>
      <c r="O131" s="466"/>
      <c r="P131" s="466"/>
      <c r="Q131" s="466"/>
      <c r="R131" s="466"/>
      <c r="S131" s="466"/>
      <c r="T131" s="466"/>
      <c r="U131" s="466"/>
      <c r="V131" s="466"/>
      <c r="W131" s="466"/>
      <c r="X131" s="466"/>
      <c r="Y131" s="466"/>
      <c r="Z131" s="466"/>
      <c r="AA131" s="466"/>
      <c r="AB131" s="466"/>
      <c r="AC131" s="466"/>
      <c r="AD131" s="466"/>
      <c r="AE131" s="466"/>
      <c r="AF131" s="466"/>
      <c r="AG131" s="466"/>
      <c r="AH131" s="466"/>
      <c r="AI131" s="466"/>
      <c r="AJ131" s="466"/>
      <c r="AK131" s="466"/>
      <c r="AL131" s="466"/>
      <c r="AM131" s="466"/>
      <c r="AN131" s="466"/>
      <c r="AO131" s="466"/>
      <c r="AP131" s="466"/>
      <c r="AQ131" s="466"/>
      <c r="AR131" s="466"/>
      <c r="AS131" s="466"/>
      <c r="AT131" s="466"/>
    </row>
    <row r="132" spans="2:46" s="337" customFormat="1" ht="14.25">
      <c r="B132" s="466" t="s">
        <v>202</v>
      </c>
      <c r="C132" s="466" t="str">
        <f>C151</f>
        <v>REFERENCE Rates</v>
      </c>
      <c r="D132" s="466" t="str">
        <f>D151</f>
        <v>COMPARATIVE Rates</v>
      </c>
      <c r="E132" s="466"/>
      <c r="F132" s="466"/>
      <c r="G132" s="466"/>
      <c r="H132" s="466"/>
      <c r="I132" s="466"/>
      <c r="J132" s="466"/>
      <c r="K132" s="466"/>
      <c r="L132" s="466"/>
      <c r="M132" s="466"/>
      <c r="N132" s="466"/>
      <c r="O132" s="466"/>
      <c r="P132" s="466"/>
      <c r="Q132" s="466"/>
      <c r="R132" s="466"/>
      <c r="S132" s="466"/>
      <c r="T132" s="466"/>
      <c r="U132" s="466"/>
      <c r="V132" s="466"/>
      <c r="W132" s="466"/>
      <c r="X132" s="466"/>
      <c r="Y132" s="466"/>
      <c r="Z132" s="466"/>
      <c r="AA132" s="466"/>
      <c r="AB132" s="466"/>
      <c r="AC132" s="466"/>
      <c r="AD132" s="466"/>
      <c r="AE132" s="466"/>
      <c r="AF132" s="466"/>
      <c r="AG132" s="466"/>
      <c r="AH132" s="466"/>
      <c r="AI132" s="466"/>
      <c r="AJ132" s="466"/>
      <c r="AK132" s="466"/>
      <c r="AL132" s="466"/>
      <c r="AM132" s="466"/>
      <c r="AN132" s="466"/>
      <c r="AO132" s="466"/>
      <c r="AP132" s="466"/>
      <c r="AQ132" s="466"/>
      <c r="AR132" s="466"/>
      <c r="AS132" s="466"/>
      <c r="AT132" s="466"/>
    </row>
    <row r="133" spans="2:46" s="337" customFormat="1" ht="14.25">
      <c r="B133" s="466" t="s">
        <v>203</v>
      </c>
      <c r="C133" s="470">
        <f>G113</f>
        <v>13227000</v>
      </c>
      <c r="D133" s="470">
        <f>G121</f>
        <v>14252000</v>
      </c>
      <c r="E133" s="466"/>
      <c r="F133" s="470">
        <f>G121</f>
        <v>14252000</v>
      </c>
      <c r="G133" s="470">
        <f>C142-F133</f>
        <v>2167000</v>
      </c>
      <c r="H133" s="466"/>
      <c r="I133" s="466"/>
      <c r="J133" s="466"/>
      <c r="K133" s="466"/>
      <c r="L133" s="466"/>
      <c r="M133" s="466"/>
      <c r="N133" s="466"/>
      <c r="O133" s="466"/>
      <c r="P133" s="466"/>
      <c r="Q133" s="466"/>
      <c r="R133" s="466"/>
      <c r="S133" s="466"/>
      <c r="T133" s="466"/>
      <c r="U133" s="466"/>
      <c r="V133" s="466"/>
      <c r="W133" s="466"/>
      <c r="X133" s="466"/>
      <c r="Y133" s="466"/>
      <c r="Z133" s="466"/>
      <c r="AA133" s="466"/>
      <c r="AB133" s="466"/>
      <c r="AC133" s="466"/>
      <c r="AD133" s="466"/>
      <c r="AE133" s="466"/>
      <c r="AF133" s="466"/>
      <c r="AG133" s="466"/>
      <c r="AH133" s="466"/>
      <c r="AI133" s="466"/>
      <c r="AJ133" s="466"/>
      <c r="AK133" s="466"/>
      <c r="AL133" s="466"/>
      <c r="AM133" s="466"/>
      <c r="AN133" s="466"/>
      <c r="AO133" s="466"/>
      <c r="AP133" s="466"/>
      <c r="AQ133" s="466"/>
      <c r="AR133" s="466"/>
      <c r="AS133" s="466"/>
      <c r="AT133" s="466"/>
    </row>
    <row r="134" spans="2:46" s="337" customFormat="1" ht="14.25">
      <c r="B134" s="466" t="str">
        <f>"Range of projected total annual revenues with a one-time "&amp;M32&amp;" reduction in average use"</f>
        <v>Range of projected total annual revenues with a one-time 10% - 20% reduction in average use</v>
      </c>
      <c r="C134" s="470">
        <f>E113-G113</f>
        <v>870000</v>
      </c>
      <c r="D134" s="470">
        <f>E121-G121</f>
        <v>848000</v>
      </c>
      <c r="E134" s="466"/>
      <c r="F134" s="470">
        <f>E121</f>
        <v>15100000</v>
      </c>
      <c r="G134" s="470">
        <f>C142-F134</f>
        <v>1319000</v>
      </c>
      <c r="H134" s="466"/>
      <c r="I134" s="466"/>
      <c r="J134" s="466"/>
      <c r="K134" s="466"/>
      <c r="L134" s="466"/>
      <c r="M134" s="466"/>
      <c r="N134" s="466"/>
      <c r="O134" s="466"/>
      <c r="P134" s="466"/>
      <c r="Q134" s="466"/>
      <c r="R134" s="466"/>
      <c r="S134" s="466"/>
      <c r="T134" s="466"/>
      <c r="U134" s="466"/>
      <c r="V134" s="466"/>
      <c r="W134" s="466"/>
      <c r="X134" s="466"/>
      <c r="Y134" s="466"/>
      <c r="Z134" s="466"/>
      <c r="AA134" s="466"/>
      <c r="AB134" s="466"/>
      <c r="AC134" s="466"/>
      <c r="AD134" s="466"/>
      <c r="AE134" s="466"/>
      <c r="AF134" s="466"/>
      <c r="AG134" s="466"/>
      <c r="AH134" s="466"/>
      <c r="AI134" s="466"/>
      <c r="AJ134" s="466"/>
      <c r="AK134" s="466"/>
      <c r="AL134" s="466"/>
      <c r="AM134" s="466"/>
      <c r="AN134" s="466"/>
      <c r="AO134" s="466"/>
      <c r="AP134" s="466"/>
      <c r="AQ134" s="466"/>
      <c r="AR134" s="466"/>
      <c r="AS134" s="466"/>
      <c r="AT134" s="466"/>
    </row>
    <row r="135" spans="2:46" s="337" customFormat="1" ht="14.25">
      <c r="B135" s="466" t="s">
        <v>205</v>
      </c>
      <c r="C135" s="466"/>
      <c r="D135" s="466"/>
      <c r="E135" s="466"/>
      <c r="F135" s="466"/>
      <c r="G135" s="466"/>
      <c r="H135" s="466"/>
      <c r="I135" s="466"/>
      <c r="J135" s="466"/>
      <c r="K135" s="466"/>
      <c r="L135" s="466"/>
      <c r="M135" s="466"/>
      <c r="N135" s="466"/>
      <c r="O135" s="466"/>
      <c r="P135" s="466"/>
      <c r="Q135" s="466"/>
      <c r="R135" s="466"/>
      <c r="S135" s="466"/>
      <c r="T135" s="466"/>
      <c r="U135" s="466"/>
      <c r="V135" s="466"/>
      <c r="W135" s="466"/>
      <c r="X135" s="466"/>
      <c r="Y135" s="466"/>
      <c r="Z135" s="466"/>
      <c r="AA135" s="466"/>
      <c r="AB135" s="466"/>
      <c r="AC135" s="466"/>
      <c r="AD135" s="466"/>
      <c r="AE135" s="466"/>
      <c r="AF135" s="466"/>
      <c r="AG135" s="466"/>
      <c r="AH135" s="466"/>
      <c r="AI135" s="466"/>
      <c r="AJ135" s="466"/>
      <c r="AK135" s="466"/>
      <c r="AL135" s="466"/>
      <c r="AM135" s="466"/>
      <c r="AN135" s="466"/>
      <c r="AO135" s="466"/>
      <c r="AP135" s="466"/>
      <c r="AQ135" s="466"/>
      <c r="AR135" s="466"/>
      <c r="AS135" s="466"/>
      <c r="AT135" s="466"/>
    </row>
    <row r="136" spans="2:46" s="337" customFormat="1" ht="14.25">
      <c r="B136" s="466" t="s">
        <v>355</v>
      </c>
      <c r="C136" s="470">
        <f>C113</f>
        <v>15408000</v>
      </c>
      <c r="D136" s="470">
        <f>C121</f>
        <v>16419000</v>
      </c>
      <c r="E136" s="466"/>
      <c r="F136" s="466"/>
      <c r="G136" s="466"/>
      <c r="H136" s="466"/>
      <c r="I136" s="466"/>
      <c r="J136" s="466"/>
      <c r="K136" s="466"/>
      <c r="L136" s="466"/>
      <c r="M136" s="466"/>
      <c r="N136" s="466"/>
      <c r="O136" s="466"/>
      <c r="P136" s="466"/>
      <c r="Q136" s="466"/>
      <c r="R136" s="466"/>
      <c r="S136" s="466"/>
      <c r="T136" s="466"/>
      <c r="U136" s="466"/>
      <c r="V136" s="466"/>
      <c r="W136" s="466"/>
      <c r="X136" s="466"/>
      <c r="Y136" s="466"/>
      <c r="Z136" s="466"/>
      <c r="AA136" s="466"/>
      <c r="AB136" s="466"/>
      <c r="AC136" s="466"/>
      <c r="AD136" s="466"/>
      <c r="AE136" s="466"/>
      <c r="AF136" s="466"/>
      <c r="AG136" s="466"/>
      <c r="AH136" s="466"/>
      <c r="AI136" s="466"/>
      <c r="AJ136" s="466"/>
      <c r="AK136" s="466"/>
      <c r="AL136" s="466"/>
      <c r="AM136" s="466"/>
      <c r="AN136" s="466"/>
      <c r="AO136" s="466"/>
      <c r="AP136" s="466"/>
      <c r="AQ136" s="466"/>
      <c r="AR136" s="466"/>
      <c r="AS136" s="466"/>
      <c r="AT136" s="466"/>
    </row>
    <row r="137" spans="2:46" s="337" customFormat="1" ht="14.25">
      <c r="B137" s="466" t="str">
        <f>"With a "&amp;ROUND(-D30*100,0)&amp;"% reduction in average use"</f>
        <v>With a 15% reduction in average use</v>
      </c>
      <c r="C137" s="470">
        <f>E92</f>
        <v>13706000</v>
      </c>
      <c r="D137" s="470">
        <f>E101</f>
        <v>14744000</v>
      </c>
      <c r="E137" s="466"/>
      <c r="F137" s="466"/>
      <c r="G137" s="466"/>
      <c r="H137" s="466"/>
      <c r="I137" s="466"/>
      <c r="J137" s="466"/>
      <c r="K137" s="466"/>
      <c r="L137" s="466"/>
      <c r="M137" s="466"/>
      <c r="N137" s="466"/>
      <c r="O137" s="466"/>
      <c r="P137" s="466"/>
      <c r="Q137" s="466"/>
      <c r="R137" s="466"/>
      <c r="S137" s="466"/>
      <c r="T137" s="466"/>
      <c r="U137" s="466"/>
      <c r="V137" s="466"/>
      <c r="W137" s="466"/>
      <c r="X137" s="466"/>
      <c r="Y137" s="466"/>
      <c r="Z137" s="466"/>
      <c r="AA137" s="466"/>
      <c r="AB137" s="466"/>
      <c r="AC137" s="466"/>
      <c r="AD137" s="466"/>
      <c r="AE137" s="466"/>
      <c r="AF137" s="466"/>
      <c r="AG137" s="466"/>
      <c r="AH137" s="466"/>
      <c r="AI137" s="466"/>
      <c r="AJ137" s="466"/>
      <c r="AK137" s="466"/>
      <c r="AL137" s="466"/>
      <c r="AM137" s="466"/>
      <c r="AN137" s="466"/>
      <c r="AO137" s="466"/>
      <c r="AP137" s="466"/>
      <c r="AQ137" s="466"/>
      <c r="AR137" s="466"/>
      <c r="AS137" s="466"/>
      <c r="AT137" s="466"/>
    </row>
    <row r="138" spans="2:46" s="337" customFormat="1" ht="14.25">
      <c r="B138" s="466"/>
      <c r="C138" s="466"/>
      <c r="D138" s="466"/>
      <c r="E138" s="466"/>
      <c r="F138" s="466"/>
      <c r="G138" s="466"/>
      <c r="H138" s="466"/>
      <c r="I138" s="466"/>
      <c r="J138" s="466"/>
      <c r="K138" s="466"/>
      <c r="L138" s="466"/>
      <c r="M138" s="466"/>
      <c r="N138" s="466"/>
      <c r="O138" s="466"/>
      <c r="P138" s="466"/>
      <c r="Q138" s="466"/>
      <c r="R138" s="466"/>
      <c r="S138" s="466"/>
      <c r="T138" s="466"/>
      <c r="U138" s="466"/>
      <c r="V138" s="466"/>
      <c r="W138" s="466"/>
      <c r="X138" s="466"/>
      <c r="Y138" s="466"/>
      <c r="Z138" s="466"/>
      <c r="AA138" s="466"/>
      <c r="AB138" s="466"/>
      <c r="AC138" s="466"/>
      <c r="AD138" s="466"/>
      <c r="AE138" s="466"/>
      <c r="AF138" s="466"/>
      <c r="AG138" s="466"/>
      <c r="AH138" s="466"/>
      <c r="AI138" s="466"/>
      <c r="AJ138" s="466"/>
      <c r="AK138" s="466"/>
      <c r="AL138" s="466"/>
      <c r="AM138" s="466"/>
      <c r="AN138" s="466"/>
      <c r="AO138" s="466"/>
      <c r="AP138" s="466"/>
      <c r="AQ138" s="466"/>
      <c r="AR138" s="466"/>
      <c r="AS138" s="466"/>
      <c r="AT138" s="466"/>
    </row>
    <row r="139" spans="2:46" s="337" customFormat="1" ht="14.25">
      <c r="B139" s="466" t="s">
        <v>212</v>
      </c>
      <c r="C139" s="470">
        <f>'Revenues from COMPARATIVE Rates'!H115</f>
        <v>0</v>
      </c>
      <c r="D139" s="466"/>
      <c r="E139" s="466"/>
      <c r="F139" s="466"/>
      <c r="G139" s="466"/>
      <c r="H139" s="466"/>
      <c r="I139" s="466"/>
      <c r="J139" s="466"/>
      <c r="K139" s="466"/>
      <c r="L139" s="466"/>
      <c r="M139" s="466"/>
      <c r="N139" s="466"/>
      <c r="O139" s="466"/>
      <c r="P139" s="466"/>
      <c r="Q139" s="466"/>
      <c r="R139" s="466"/>
      <c r="S139" s="466"/>
      <c r="T139" s="466"/>
      <c r="U139" s="466"/>
      <c r="V139" s="466"/>
      <c r="W139" s="466"/>
      <c r="X139" s="466"/>
      <c r="Y139" s="466"/>
      <c r="Z139" s="466"/>
      <c r="AA139" s="466"/>
      <c r="AB139" s="466"/>
      <c r="AC139" s="466"/>
      <c r="AD139" s="466"/>
      <c r="AE139" s="466"/>
      <c r="AF139" s="466"/>
      <c r="AG139" s="466"/>
      <c r="AH139" s="466"/>
      <c r="AI139" s="466"/>
      <c r="AJ139" s="466"/>
      <c r="AK139" s="466"/>
      <c r="AL139" s="466"/>
      <c r="AM139" s="466"/>
      <c r="AN139" s="466"/>
      <c r="AO139" s="466"/>
      <c r="AP139" s="466"/>
      <c r="AQ139" s="466"/>
      <c r="AR139" s="466"/>
      <c r="AS139" s="466"/>
      <c r="AT139" s="466"/>
    </row>
    <row r="140" spans="2:46" s="337" customFormat="1" ht="14.25">
      <c r="B140" s="466"/>
      <c r="C140" s="466"/>
      <c r="D140" s="466"/>
      <c r="E140" s="466"/>
      <c r="F140" s="466"/>
      <c r="G140" s="466"/>
      <c r="H140" s="466"/>
      <c r="I140" s="466"/>
      <c r="J140" s="466"/>
      <c r="K140" s="466"/>
      <c r="L140" s="466"/>
      <c r="M140" s="466"/>
      <c r="N140" s="466"/>
      <c r="O140" s="466"/>
      <c r="P140" s="466"/>
      <c r="Q140" s="466"/>
      <c r="R140" s="466"/>
      <c r="S140" s="466"/>
      <c r="T140" s="466"/>
      <c r="U140" s="466"/>
      <c r="V140" s="466"/>
      <c r="W140" s="466"/>
      <c r="X140" s="466"/>
      <c r="Y140" s="466"/>
      <c r="Z140" s="466"/>
      <c r="AA140" s="466"/>
      <c r="AB140" s="466"/>
      <c r="AC140" s="466"/>
      <c r="AD140" s="466"/>
      <c r="AE140" s="466"/>
      <c r="AF140" s="466"/>
      <c r="AG140" s="466"/>
      <c r="AH140" s="466"/>
      <c r="AI140" s="466"/>
      <c r="AJ140" s="466"/>
      <c r="AK140" s="466"/>
      <c r="AL140" s="466"/>
      <c r="AM140" s="466"/>
      <c r="AN140" s="466"/>
      <c r="AO140" s="466"/>
      <c r="AP140" s="466"/>
      <c r="AQ140" s="466"/>
      <c r="AR140" s="466"/>
      <c r="AS140" s="466"/>
      <c r="AT140" s="466"/>
    </row>
    <row r="141" spans="2:46" s="337" customFormat="1" ht="14.25">
      <c r="B141" s="466" t="s">
        <v>207</v>
      </c>
      <c r="C141" s="466"/>
      <c r="D141" s="466"/>
      <c r="E141" s="466"/>
      <c r="F141" s="466"/>
      <c r="G141" s="466"/>
      <c r="H141" s="466"/>
      <c r="I141" s="466"/>
      <c r="J141" s="466"/>
      <c r="K141" s="466"/>
      <c r="L141" s="466"/>
      <c r="M141" s="466"/>
      <c r="N141" s="466"/>
      <c r="O141" s="466"/>
      <c r="P141" s="466"/>
      <c r="Q141" s="466"/>
      <c r="R141" s="466"/>
      <c r="S141" s="466"/>
      <c r="T141" s="466"/>
      <c r="U141" s="466"/>
      <c r="V141" s="466"/>
      <c r="W141" s="466"/>
      <c r="X141" s="466"/>
      <c r="Y141" s="466"/>
      <c r="Z141" s="466"/>
      <c r="AA141" s="466"/>
      <c r="AB141" s="466"/>
      <c r="AC141" s="466"/>
      <c r="AD141" s="466"/>
      <c r="AE141" s="466"/>
      <c r="AF141" s="466"/>
      <c r="AG141" s="466"/>
      <c r="AH141" s="466"/>
      <c r="AI141" s="466"/>
      <c r="AJ141" s="466"/>
      <c r="AK141" s="466"/>
      <c r="AL141" s="466"/>
      <c r="AM141" s="466"/>
      <c r="AN141" s="466"/>
      <c r="AO141" s="466"/>
      <c r="AP141" s="466"/>
      <c r="AQ141" s="466"/>
      <c r="AR141" s="466"/>
      <c r="AS141" s="466"/>
      <c r="AT141" s="466"/>
    </row>
    <row r="142" spans="2:46" s="337" customFormat="1" ht="14.25">
      <c r="B142" s="466" t="s">
        <v>208</v>
      </c>
      <c r="C142" s="470">
        <f>D136</f>
        <v>16419000</v>
      </c>
      <c r="D142" s="466"/>
      <c r="E142" s="466"/>
      <c r="F142" s="466"/>
      <c r="G142" s="466"/>
      <c r="H142" s="466"/>
      <c r="I142" s="466"/>
      <c r="J142" s="466"/>
      <c r="K142" s="466"/>
      <c r="L142" s="466"/>
      <c r="M142" s="466"/>
      <c r="N142" s="466"/>
      <c r="O142" s="466"/>
      <c r="P142" s="466"/>
      <c r="Q142" s="466"/>
      <c r="R142" s="466"/>
      <c r="S142" s="466"/>
      <c r="T142" s="466"/>
      <c r="U142" s="466"/>
      <c r="V142" s="466"/>
      <c r="W142" s="466"/>
      <c r="X142" s="466"/>
      <c r="Y142" s="466"/>
      <c r="Z142" s="466"/>
      <c r="AA142" s="466"/>
      <c r="AB142" s="466"/>
      <c r="AC142" s="466"/>
      <c r="AD142" s="466"/>
      <c r="AE142" s="466"/>
      <c r="AF142" s="466"/>
      <c r="AG142" s="466"/>
      <c r="AH142" s="466"/>
      <c r="AI142" s="466"/>
      <c r="AJ142" s="466"/>
      <c r="AK142" s="466"/>
      <c r="AL142" s="466"/>
      <c r="AM142" s="466"/>
      <c r="AN142" s="466"/>
      <c r="AO142" s="466"/>
      <c r="AP142" s="466"/>
      <c r="AQ142" s="466"/>
      <c r="AR142" s="466"/>
      <c r="AS142" s="466"/>
      <c r="AT142" s="466"/>
    </row>
    <row r="143" spans="2:46" s="337" customFormat="1" ht="14.25">
      <c r="B143" s="466"/>
      <c r="C143" s="466"/>
      <c r="D143" s="466"/>
      <c r="E143" s="466"/>
      <c r="F143" s="466"/>
      <c r="G143" s="466"/>
      <c r="H143" s="466"/>
      <c r="I143" s="466"/>
      <c r="J143" s="466"/>
      <c r="K143" s="466"/>
      <c r="L143" s="466"/>
      <c r="M143" s="466"/>
      <c r="N143" s="466"/>
      <c r="O143" s="466"/>
      <c r="P143" s="466"/>
      <c r="Q143" s="466"/>
      <c r="R143" s="466"/>
      <c r="S143" s="466"/>
      <c r="T143" s="466"/>
      <c r="U143" s="466"/>
      <c r="V143" s="466"/>
      <c r="W143" s="466"/>
      <c r="X143" s="466"/>
      <c r="Y143" s="466"/>
      <c r="Z143" s="466"/>
      <c r="AA143" s="466"/>
      <c r="AB143" s="466"/>
      <c r="AC143" s="466"/>
      <c r="AD143" s="466"/>
      <c r="AE143" s="466"/>
      <c r="AF143" s="466"/>
      <c r="AG143" s="466"/>
      <c r="AH143" s="466"/>
      <c r="AI143" s="466"/>
      <c r="AJ143" s="466"/>
      <c r="AK143" s="466"/>
      <c r="AL143" s="466"/>
      <c r="AM143" s="466"/>
      <c r="AN143" s="466"/>
      <c r="AO143" s="466"/>
      <c r="AP143" s="466"/>
      <c r="AQ143" s="466"/>
      <c r="AR143" s="466"/>
      <c r="AS143" s="466"/>
      <c r="AT143" s="466"/>
    </row>
    <row r="144" spans="2:46" s="337" customFormat="1" ht="14.25">
      <c r="B144" s="466" t="s">
        <v>211</v>
      </c>
      <c r="C144" s="470">
        <f>IF(C139&gt;D136,C139-D136,0)</f>
        <v>0</v>
      </c>
      <c r="D144" s="559">
        <f>C144/$D$136</f>
        <v>0</v>
      </c>
      <c r="E144" s="466"/>
      <c r="F144" s="466"/>
      <c r="G144" s="466"/>
      <c r="H144" s="466"/>
      <c r="I144" s="466"/>
      <c r="J144" s="466"/>
      <c r="K144" s="466"/>
      <c r="L144" s="466"/>
      <c r="M144" s="466"/>
      <c r="N144" s="466"/>
      <c r="O144" s="466"/>
      <c r="P144" s="466"/>
      <c r="Q144" s="466"/>
      <c r="R144" s="466"/>
      <c r="S144" s="466"/>
      <c r="T144" s="466"/>
      <c r="U144" s="466"/>
      <c r="V144" s="466"/>
      <c r="W144" s="466"/>
      <c r="X144" s="466"/>
      <c r="Y144" s="466"/>
      <c r="Z144" s="466"/>
      <c r="AA144" s="466"/>
      <c r="AB144" s="466"/>
      <c r="AC144" s="466"/>
      <c r="AD144" s="466"/>
      <c r="AE144" s="466"/>
      <c r="AF144" s="466"/>
      <c r="AG144" s="466"/>
      <c r="AH144" s="466"/>
      <c r="AI144" s="466"/>
      <c r="AJ144" s="466"/>
      <c r="AK144" s="466"/>
      <c r="AL144" s="466"/>
      <c r="AM144" s="466"/>
      <c r="AN144" s="466"/>
      <c r="AO144" s="466"/>
      <c r="AP144" s="466"/>
      <c r="AQ144" s="466"/>
      <c r="AR144" s="466"/>
      <c r="AS144" s="466"/>
      <c r="AT144" s="466"/>
    </row>
    <row r="145" spans="2:46" s="337" customFormat="1" ht="14.25">
      <c r="B145" s="466" t="s">
        <v>209</v>
      </c>
      <c r="C145" s="931">
        <f>IF(D136&gt;C139,D136-C139,0)</f>
        <v>16419000</v>
      </c>
      <c r="D145" s="559">
        <f>C145/$D$136</f>
        <v>1</v>
      </c>
      <c r="E145" s="466"/>
      <c r="F145" s="466"/>
      <c r="G145" s="466"/>
      <c r="H145" s="466"/>
      <c r="I145" s="466"/>
      <c r="J145" s="466"/>
      <c r="K145" s="466"/>
      <c r="L145" s="466"/>
      <c r="M145" s="466"/>
      <c r="N145" s="466"/>
      <c r="O145" s="466"/>
      <c r="P145" s="466"/>
      <c r="Q145" s="466"/>
      <c r="R145" s="466"/>
      <c r="S145" s="466"/>
      <c r="T145" s="466"/>
      <c r="U145" s="466"/>
      <c r="V145" s="466"/>
      <c r="W145" s="466"/>
      <c r="X145" s="466"/>
      <c r="Y145" s="466"/>
      <c r="Z145" s="466"/>
      <c r="AA145" s="466"/>
      <c r="AB145" s="466"/>
      <c r="AC145" s="466"/>
      <c r="AD145" s="466"/>
      <c r="AE145" s="466"/>
      <c r="AF145" s="466"/>
      <c r="AG145" s="466"/>
      <c r="AH145" s="466"/>
      <c r="AI145" s="466"/>
      <c r="AJ145" s="466"/>
      <c r="AK145" s="466"/>
      <c r="AL145" s="466"/>
      <c r="AM145" s="466"/>
      <c r="AN145" s="466"/>
      <c r="AO145" s="466"/>
      <c r="AP145" s="466"/>
      <c r="AQ145" s="466"/>
      <c r="AR145" s="466"/>
      <c r="AS145" s="466"/>
      <c r="AT145" s="466"/>
    </row>
    <row r="146" spans="2:46" s="337" customFormat="1" ht="14.25">
      <c r="B146" s="466" t="s">
        <v>214</v>
      </c>
      <c r="C146" s="470">
        <f>IF(AND(C139&lt;D136,F134&lt;C139),C139-F134,IF(AND(C139&gt;=D136,F134&lt;D136),D136-F134,0))</f>
        <v>0</v>
      </c>
      <c r="D146" s="559">
        <f>C146/$D$136</f>
        <v>0</v>
      </c>
      <c r="E146" s="470">
        <f>IF(E121&lt;C121,C121-E121,0)</f>
        <v>1319000</v>
      </c>
      <c r="F146" s="466" t="s">
        <v>210</v>
      </c>
      <c r="G146" s="466"/>
      <c r="H146" s="466"/>
      <c r="I146" s="466"/>
      <c r="J146" s="466"/>
      <c r="K146" s="466"/>
      <c r="L146" s="466"/>
      <c r="M146" s="466"/>
      <c r="N146" s="466"/>
      <c r="O146" s="466"/>
      <c r="P146" s="466"/>
      <c r="Q146" s="466"/>
      <c r="R146" s="466"/>
      <c r="S146" s="466"/>
      <c r="T146" s="466"/>
      <c r="U146" s="466"/>
      <c r="V146" s="466"/>
      <c r="W146" s="466"/>
      <c r="X146" s="466"/>
      <c r="Y146" s="466"/>
      <c r="Z146" s="466"/>
      <c r="AA146" s="466"/>
      <c r="AB146" s="466"/>
      <c r="AC146" s="466"/>
      <c r="AD146" s="466"/>
      <c r="AE146" s="466"/>
      <c r="AF146" s="466"/>
      <c r="AG146" s="466"/>
      <c r="AH146" s="466"/>
      <c r="AI146" s="466"/>
      <c r="AJ146" s="466"/>
      <c r="AK146" s="466"/>
      <c r="AL146" s="466"/>
      <c r="AM146" s="466"/>
      <c r="AN146" s="466"/>
      <c r="AO146" s="466"/>
      <c r="AP146" s="466"/>
      <c r="AQ146" s="466"/>
      <c r="AR146" s="466"/>
      <c r="AS146" s="466"/>
      <c r="AT146" s="466"/>
    </row>
    <row r="147" spans="2:46" s="337" customFormat="1" ht="14.25">
      <c r="B147" s="466" t="s">
        <v>213</v>
      </c>
      <c r="C147" s="470">
        <f>IF(AND(C139&lt;D136,F133&lt;C139),F134-F133,IF(AND(C139&gt;=D136,F133&lt;D136),F134-F133,0))</f>
        <v>0</v>
      </c>
      <c r="D147" s="559">
        <f>C147/$D$136</f>
        <v>0</v>
      </c>
      <c r="E147" s="470">
        <f>IF(G121&lt;C121,C121-G121,0)</f>
        <v>2167000</v>
      </c>
      <c r="F147" s="466" t="s">
        <v>78</v>
      </c>
      <c r="G147" s="466"/>
      <c r="H147" s="466"/>
      <c r="I147" s="466"/>
      <c r="J147" s="466"/>
      <c r="K147" s="466"/>
      <c r="L147" s="466"/>
      <c r="M147" s="466"/>
      <c r="N147" s="466"/>
      <c r="O147" s="466"/>
      <c r="P147" s="466"/>
      <c r="Q147" s="466"/>
      <c r="R147" s="466"/>
      <c r="S147" s="466"/>
      <c r="T147" s="466"/>
      <c r="U147" s="466"/>
      <c r="V147" s="466"/>
      <c r="W147" s="466"/>
      <c r="X147" s="466"/>
      <c r="Y147" s="466"/>
      <c r="Z147" s="466"/>
      <c r="AA147" s="466"/>
      <c r="AB147" s="466"/>
      <c r="AC147" s="466"/>
      <c r="AD147" s="466"/>
      <c r="AE147" s="466"/>
      <c r="AF147" s="466"/>
      <c r="AG147" s="466"/>
      <c r="AH147" s="466"/>
      <c r="AI147" s="466"/>
      <c r="AJ147" s="466"/>
      <c r="AK147" s="466"/>
      <c r="AL147" s="466"/>
      <c r="AM147" s="466"/>
      <c r="AN147" s="466"/>
      <c r="AO147" s="466"/>
      <c r="AP147" s="466"/>
      <c r="AQ147" s="466"/>
      <c r="AR147" s="466"/>
      <c r="AS147" s="466"/>
      <c r="AT147" s="466"/>
    </row>
    <row r="148" spans="2:46" s="337" customFormat="1" ht="14.25">
      <c r="B148" s="466" t="s">
        <v>208</v>
      </c>
      <c r="C148" s="470">
        <f>C142-C145-C146-C147</f>
        <v>0</v>
      </c>
      <c r="D148" s="559">
        <f>C148/$D$136</f>
        <v>0</v>
      </c>
      <c r="E148" s="466"/>
      <c r="F148" s="466"/>
      <c r="G148" s="466"/>
      <c r="H148" s="466"/>
      <c r="I148" s="466"/>
      <c r="J148" s="466"/>
      <c r="K148" s="466"/>
      <c r="L148" s="466"/>
      <c r="M148" s="466"/>
      <c r="N148" s="466"/>
      <c r="O148" s="466"/>
      <c r="P148" s="466"/>
      <c r="Q148" s="466"/>
      <c r="R148" s="466"/>
      <c r="S148" s="466"/>
      <c r="T148" s="466"/>
      <c r="U148" s="466"/>
      <c r="V148" s="466"/>
      <c r="W148" s="466"/>
      <c r="X148" s="466"/>
      <c r="Y148" s="466"/>
      <c r="Z148" s="466"/>
      <c r="AA148" s="466"/>
      <c r="AB148" s="466"/>
      <c r="AC148" s="466"/>
      <c r="AD148" s="466"/>
      <c r="AE148" s="466"/>
      <c r="AF148" s="466"/>
      <c r="AG148" s="466"/>
      <c r="AH148" s="466"/>
      <c r="AI148" s="466"/>
      <c r="AJ148" s="466"/>
      <c r="AK148" s="466"/>
      <c r="AL148" s="466"/>
      <c r="AM148" s="466"/>
      <c r="AN148" s="466"/>
      <c r="AO148" s="466"/>
      <c r="AP148" s="466"/>
      <c r="AQ148" s="466"/>
      <c r="AR148" s="466"/>
      <c r="AS148" s="466"/>
      <c r="AT148" s="466"/>
    </row>
    <row r="149" spans="2:46" s="337" customFormat="1" ht="14.25">
      <c r="B149" s="466"/>
      <c r="C149" s="466"/>
      <c r="D149" s="466"/>
      <c r="E149" s="466"/>
      <c r="F149" s="466"/>
      <c r="G149" s="466"/>
      <c r="H149" s="466"/>
      <c r="I149" s="466"/>
      <c r="J149" s="466"/>
      <c r="K149" s="466"/>
      <c r="L149" s="466"/>
      <c r="M149" s="466"/>
      <c r="N149" s="466"/>
      <c r="O149" s="466"/>
      <c r="P149" s="466"/>
      <c r="Q149" s="466"/>
      <c r="R149" s="466"/>
      <c r="S149" s="466"/>
      <c r="T149" s="466"/>
      <c r="U149" s="466"/>
      <c r="V149" s="466"/>
      <c r="W149" s="466"/>
      <c r="X149" s="466"/>
      <c r="Y149" s="466"/>
      <c r="Z149" s="466"/>
      <c r="AA149" s="466"/>
      <c r="AB149" s="466"/>
      <c r="AC149" s="466"/>
      <c r="AD149" s="466"/>
      <c r="AE149" s="466"/>
      <c r="AF149" s="466"/>
      <c r="AG149" s="466"/>
      <c r="AH149" s="466"/>
      <c r="AI149" s="466"/>
      <c r="AJ149" s="466"/>
      <c r="AK149" s="466"/>
      <c r="AL149" s="466"/>
      <c r="AM149" s="466"/>
      <c r="AN149" s="466"/>
      <c r="AO149" s="466"/>
      <c r="AP149" s="466"/>
      <c r="AQ149" s="466"/>
      <c r="AR149" s="466"/>
      <c r="AS149" s="466"/>
      <c r="AT149" s="466"/>
    </row>
    <row r="150" spans="2:46" s="337" customFormat="1" ht="14.25">
      <c r="B150" s="466"/>
      <c r="C150" s="466"/>
      <c r="D150" s="466"/>
      <c r="E150" s="466"/>
      <c r="F150" s="466"/>
      <c r="G150" s="466"/>
      <c r="H150" s="466"/>
      <c r="I150" s="466"/>
      <c r="J150" s="466"/>
      <c r="K150" s="466"/>
      <c r="L150" s="466"/>
      <c r="M150" s="466"/>
      <c r="N150" s="466"/>
      <c r="O150" s="466"/>
      <c r="P150" s="466"/>
      <c r="Q150" s="466"/>
      <c r="R150" s="466"/>
      <c r="S150" s="466"/>
      <c r="T150" s="466"/>
      <c r="U150" s="466"/>
      <c r="V150" s="466"/>
      <c r="W150" s="466"/>
      <c r="X150" s="466"/>
      <c r="Y150" s="466"/>
      <c r="Z150" s="466"/>
      <c r="AA150" s="466"/>
      <c r="AB150" s="466"/>
      <c r="AC150" s="466"/>
      <c r="AD150" s="466"/>
      <c r="AE150" s="466"/>
      <c r="AF150" s="466"/>
      <c r="AG150" s="466"/>
      <c r="AH150" s="466"/>
      <c r="AI150" s="466"/>
      <c r="AJ150" s="466"/>
      <c r="AK150" s="466"/>
      <c r="AL150" s="466"/>
      <c r="AM150" s="466"/>
      <c r="AN150" s="466"/>
      <c r="AO150" s="466"/>
      <c r="AP150" s="466"/>
      <c r="AQ150" s="466"/>
      <c r="AR150" s="466"/>
      <c r="AS150" s="466"/>
      <c r="AT150" s="466"/>
    </row>
    <row r="151" spans="2:46" s="337" customFormat="1" ht="14.25">
      <c r="B151" s="466"/>
      <c r="C151" s="466" t="s">
        <v>312</v>
      </c>
      <c r="D151" s="466" t="s">
        <v>313</v>
      </c>
      <c r="E151" s="466"/>
      <c r="F151" s="466"/>
      <c r="G151" s="466"/>
      <c r="H151" s="466"/>
      <c r="I151" s="466"/>
      <c r="J151" s="466"/>
      <c r="K151" s="466"/>
      <c r="L151" s="466"/>
      <c r="M151" s="466"/>
      <c r="N151" s="466"/>
      <c r="O151" s="466"/>
      <c r="P151" s="466"/>
      <c r="Q151" s="466"/>
      <c r="R151" s="466"/>
      <c r="S151" s="466"/>
      <c r="T151" s="466"/>
      <c r="U151" s="466"/>
      <c r="V151" s="466"/>
      <c r="W151" s="466"/>
      <c r="X151" s="466"/>
      <c r="Y151" s="466"/>
      <c r="Z151" s="466"/>
      <c r="AA151" s="466"/>
      <c r="AB151" s="466"/>
      <c r="AC151" s="466"/>
      <c r="AD151" s="466"/>
      <c r="AE151" s="466"/>
      <c r="AF151" s="466"/>
      <c r="AG151" s="466"/>
      <c r="AH151" s="466"/>
      <c r="AI151" s="466"/>
      <c r="AJ151" s="466"/>
      <c r="AK151" s="466"/>
      <c r="AL151" s="466"/>
      <c r="AM151" s="466"/>
      <c r="AN151" s="466"/>
      <c r="AO151" s="466"/>
      <c r="AP151" s="466"/>
      <c r="AQ151" s="466"/>
      <c r="AR151" s="466"/>
      <c r="AS151" s="466"/>
      <c r="AT151" s="466"/>
    </row>
    <row r="152" spans="2:46" s="337" customFormat="1" ht="14.25">
      <c r="B152" s="466" t="str">
        <f>"Portion of residential revenues at risk of decline because of "&amp;ROUND(-K32*100,0)&amp;"% reduction in average water use"</f>
        <v>Portion of residential revenues at risk of decline because of 10% reduction in average water use</v>
      </c>
      <c r="C152" s="470">
        <f>C113-E113</f>
        <v>1311000</v>
      </c>
      <c r="D152" s="470">
        <f>C121-E121</f>
        <v>1319000</v>
      </c>
      <c r="E152" s="466"/>
      <c r="F152" s="466"/>
      <c r="G152" s="466"/>
      <c r="H152" s="466"/>
      <c r="I152" s="466"/>
      <c r="J152" s="466"/>
      <c r="K152" s="466"/>
      <c r="L152" s="466"/>
      <c r="M152" s="466"/>
      <c r="N152" s="466"/>
      <c r="O152" s="466"/>
      <c r="P152" s="466"/>
      <c r="Q152" s="466"/>
      <c r="R152" s="466"/>
      <c r="S152" s="466"/>
      <c r="T152" s="466"/>
      <c r="U152" s="466"/>
      <c r="V152" s="466"/>
      <c r="W152" s="466"/>
      <c r="X152" s="466"/>
      <c r="Y152" s="466"/>
      <c r="Z152" s="466"/>
      <c r="AA152" s="466"/>
      <c r="AB152" s="466"/>
      <c r="AC152" s="466"/>
      <c r="AD152" s="466"/>
      <c r="AE152" s="466"/>
      <c r="AF152" s="466"/>
      <c r="AG152" s="466"/>
      <c r="AH152" s="466"/>
      <c r="AI152" s="466"/>
      <c r="AJ152" s="466"/>
      <c r="AK152" s="466"/>
      <c r="AL152" s="466"/>
      <c r="AM152" s="466"/>
      <c r="AN152" s="466"/>
      <c r="AO152" s="466"/>
      <c r="AP152" s="466"/>
      <c r="AQ152" s="466"/>
      <c r="AR152" s="466"/>
      <c r="AS152" s="466"/>
      <c r="AT152" s="466"/>
    </row>
    <row r="153" spans="2:46" s="337" customFormat="1" ht="14.25">
      <c r="B153" s="466" t="str">
        <f>"Additional portion of residential revenues at risk of decline because of "&amp;ROUND(-K32*100,0)+1&amp;"% to "&amp;ROUND(-L32*100,0)&amp;"% reduction in average water use"</f>
        <v>Additional portion of residential revenues at risk of decline because of 11% to 20% reduction in average water use</v>
      </c>
      <c r="C153" s="470">
        <f>E113-G113</f>
        <v>870000</v>
      </c>
      <c r="D153" s="470">
        <f>E121-G121</f>
        <v>848000</v>
      </c>
      <c r="E153" s="466"/>
      <c r="F153" s="466"/>
      <c r="G153" s="466"/>
      <c r="H153" s="466"/>
      <c r="I153" s="466"/>
      <c r="J153" s="466"/>
      <c r="K153" s="466"/>
      <c r="L153" s="466"/>
      <c r="M153" s="466"/>
      <c r="N153" s="466"/>
      <c r="O153" s="466"/>
      <c r="P153" s="466"/>
      <c r="Q153" s="466"/>
      <c r="R153" s="466"/>
      <c r="S153" s="466"/>
      <c r="T153" s="466"/>
      <c r="U153" s="466"/>
      <c r="V153" s="466"/>
      <c r="W153" s="466"/>
      <c r="X153" s="466"/>
      <c r="Y153" s="466"/>
      <c r="Z153" s="466"/>
      <c r="AA153" s="466"/>
      <c r="AB153" s="466"/>
      <c r="AC153" s="466"/>
      <c r="AD153" s="466"/>
      <c r="AE153" s="466"/>
      <c r="AF153" s="466"/>
      <c r="AG153" s="466"/>
      <c r="AH153" s="466"/>
      <c r="AI153" s="466"/>
      <c r="AJ153" s="466"/>
      <c r="AK153" s="466"/>
      <c r="AL153" s="466"/>
      <c r="AM153" s="466"/>
      <c r="AN153" s="466"/>
      <c r="AO153" s="466"/>
      <c r="AP153" s="466"/>
      <c r="AQ153" s="466"/>
      <c r="AR153" s="466"/>
      <c r="AS153" s="466"/>
      <c r="AT153" s="466"/>
    </row>
    <row r="154" spans="2:46" s="337" customFormat="1" ht="14.25">
      <c r="B154" s="466"/>
      <c r="C154" s="470">
        <f>G113</f>
        <v>13227000</v>
      </c>
      <c r="D154" s="470">
        <f>G121</f>
        <v>14252000</v>
      </c>
      <c r="E154" s="466"/>
      <c r="F154" s="466"/>
      <c r="G154" s="466"/>
      <c r="H154" s="466"/>
      <c r="I154" s="466"/>
      <c r="J154" s="466"/>
      <c r="K154" s="466"/>
      <c r="L154" s="466"/>
      <c r="M154" s="466"/>
      <c r="N154" s="466"/>
      <c r="O154" s="466"/>
      <c r="P154" s="466"/>
      <c r="Q154" s="466"/>
      <c r="R154" s="466"/>
      <c r="S154" s="466"/>
      <c r="T154" s="466"/>
      <c r="U154" s="466"/>
      <c r="V154" s="466"/>
      <c r="W154" s="466"/>
      <c r="X154" s="466"/>
      <c r="Y154" s="466"/>
      <c r="Z154" s="466"/>
      <c r="AA154" s="466"/>
      <c r="AB154" s="466"/>
      <c r="AC154" s="466"/>
      <c r="AD154" s="466"/>
      <c r="AE154" s="466"/>
      <c r="AF154" s="466"/>
      <c r="AG154" s="466"/>
      <c r="AH154" s="466"/>
      <c r="AI154" s="466"/>
      <c r="AJ154" s="466"/>
      <c r="AK154" s="466"/>
      <c r="AL154" s="466"/>
      <c r="AM154" s="466"/>
      <c r="AN154" s="466"/>
      <c r="AO154" s="466"/>
      <c r="AP154" s="466"/>
      <c r="AQ154" s="466"/>
      <c r="AR154" s="466"/>
      <c r="AS154" s="466"/>
      <c r="AT154" s="466"/>
    </row>
    <row r="155" spans="2:46" s="337" customFormat="1" ht="14.25">
      <c r="B155" s="466"/>
      <c r="C155" s="466"/>
      <c r="D155" s="466"/>
      <c r="E155" s="466"/>
      <c r="F155" s="466"/>
      <c r="G155" s="466"/>
      <c r="H155" s="466"/>
      <c r="I155" s="466"/>
      <c r="J155" s="466"/>
      <c r="K155" s="466"/>
      <c r="L155" s="466"/>
      <c r="M155" s="466"/>
      <c r="N155" s="466"/>
      <c r="O155" s="466"/>
      <c r="P155" s="466"/>
      <c r="Q155" s="466"/>
      <c r="R155" s="466"/>
      <c r="S155" s="466"/>
      <c r="T155" s="466"/>
      <c r="U155" s="466"/>
      <c r="V155" s="466"/>
      <c r="W155" s="466"/>
      <c r="X155" s="466"/>
      <c r="Y155" s="466"/>
      <c r="Z155" s="466"/>
      <c r="AA155" s="466"/>
      <c r="AB155" s="466"/>
      <c r="AC155" s="466"/>
      <c r="AD155" s="466"/>
      <c r="AE155" s="466"/>
      <c r="AF155" s="466"/>
      <c r="AG155" s="466"/>
      <c r="AH155" s="466"/>
      <c r="AI155" s="466"/>
      <c r="AJ155" s="466"/>
      <c r="AK155" s="466"/>
      <c r="AL155" s="466"/>
      <c r="AM155" s="466"/>
      <c r="AN155" s="466"/>
      <c r="AO155" s="466"/>
      <c r="AP155" s="466"/>
      <c r="AQ155" s="466"/>
      <c r="AR155" s="466"/>
      <c r="AS155" s="466"/>
      <c r="AT155" s="466"/>
    </row>
    <row r="156" spans="2:46" s="337" customFormat="1" ht="14.25">
      <c r="B156" s="466" t="s">
        <v>327</v>
      </c>
      <c r="C156" s="466"/>
      <c r="D156" s="466"/>
      <c r="E156" s="466"/>
      <c r="F156" s="466"/>
      <c r="G156" s="466"/>
      <c r="H156" s="466"/>
      <c r="I156" s="466"/>
      <c r="J156" s="466"/>
      <c r="K156" s="466"/>
      <c r="L156" s="466"/>
      <c r="M156" s="466"/>
      <c r="N156" s="466"/>
      <c r="O156" s="466"/>
      <c r="P156" s="466"/>
      <c r="Q156" s="466"/>
      <c r="R156" s="466"/>
      <c r="S156" s="466"/>
      <c r="T156" s="466"/>
      <c r="U156" s="466"/>
      <c r="V156" s="466"/>
      <c r="W156" s="466"/>
      <c r="X156" s="466"/>
      <c r="Y156" s="466"/>
      <c r="Z156" s="466"/>
      <c r="AA156" s="466"/>
      <c r="AB156" s="466"/>
      <c r="AC156" s="466"/>
      <c r="AD156" s="466"/>
      <c r="AE156" s="466"/>
      <c r="AF156" s="466"/>
      <c r="AG156" s="466"/>
      <c r="AH156" s="466"/>
      <c r="AI156" s="466"/>
      <c r="AJ156" s="466"/>
      <c r="AK156" s="466"/>
      <c r="AL156" s="466"/>
      <c r="AM156" s="466"/>
      <c r="AN156" s="466"/>
      <c r="AO156" s="466"/>
      <c r="AP156" s="466"/>
      <c r="AQ156" s="466"/>
      <c r="AR156" s="466"/>
      <c r="AS156" s="466"/>
      <c r="AT156" s="466"/>
    </row>
    <row r="157" spans="2:46" s="337" customFormat="1"/>
  </sheetData>
  <sheetProtection password="EB90" sheet="1" objects="1" scenarios="1"/>
  <mergeCells count="60">
    <mergeCell ref="B127:I127"/>
    <mergeCell ref="B125:I125"/>
    <mergeCell ref="B35:I35"/>
    <mergeCell ref="B117:I117"/>
    <mergeCell ref="E103:F103"/>
    <mergeCell ref="E105:F105"/>
    <mergeCell ref="C105:D105"/>
    <mergeCell ref="G120:H120"/>
    <mergeCell ref="G121:H121"/>
    <mergeCell ref="G122:H122"/>
    <mergeCell ref="G123:H123"/>
    <mergeCell ref="B110:I110"/>
    <mergeCell ref="E100:F100"/>
    <mergeCell ref="C100:D100"/>
    <mergeCell ref="E91:F91"/>
    <mergeCell ref="C91:D91"/>
    <mergeCell ref="C94:D94"/>
    <mergeCell ref="E94:F94"/>
    <mergeCell ref="E96:F96"/>
    <mergeCell ref="C96:D96"/>
    <mergeCell ref="G100:H100"/>
    <mergeCell ref="C101:D101"/>
    <mergeCell ref="C102:D102"/>
    <mergeCell ref="C103:D103"/>
    <mergeCell ref="E101:F101"/>
    <mergeCell ref="E102:F102"/>
    <mergeCell ref="B1:I1"/>
    <mergeCell ref="B2:I2"/>
    <mergeCell ref="B4:I4"/>
    <mergeCell ref="C92:D92"/>
    <mergeCell ref="C93:D93"/>
    <mergeCell ref="E92:F92"/>
    <mergeCell ref="E93:F93"/>
    <mergeCell ref="G91:H91"/>
    <mergeCell ref="B28:I28"/>
    <mergeCell ref="B29:I29"/>
    <mergeCell ref="B32:I32"/>
    <mergeCell ref="B34:I34"/>
    <mergeCell ref="B88:I88"/>
    <mergeCell ref="E30:I30"/>
    <mergeCell ref="E121:F121"/>
    <mergeCell ref="E122:F122"/>
    <mergeCell ref="E123:F123"/>
    <mergeCell ref="C121:D121"/>
    <mergeCell ref="C122:D122"/>
    <mergeCell ref="C123:D123"/>
    <mergeCell ref="C120:D120"/>
    <mergeCell ref="E120:F120"/>
    <mergeCell ref="G112:H112"/>
    <mergeCell ref="G113:H113"/>
    <mergeCell ref="G114:H114"/>
    <mergeCell ref="G115:H115"/>
    <mergeCell ref="C113:D113"/>
    <mergeCell ref="C112:D112"/>
    <mergeCell ref="C114:D114"/>
    <mergeCell ref="C115:D115"/>
    <mergeCell ref="E112:F112"/>
    <mergeCell ref="E113:F113"/>
    <mergeCell ref="E114:F114"/>
    <mergeCell ref="E115:F115"/>
  </mergeCells>
  <dataValidations count="1">
    <dataValidation type="decimal" allowBlank="1" showErrorMessage="1" error="Enter a percentage between -10% and -50%. Percentage must be negative." sqref="D30">
      <formula1>-0.5</formula1>
      <formula2>-0.1</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3"/>
  <sheetViews>
    <sheetView workbookViewId="0">
      <selection activeCell="A7" sqref="A7"/>
    </sheetView>
  </sheetViews>
  <sheetFormatPr defaultRowHeight="12.75"/>
  <cols>
    <col min="1" max="1" width="23.7109375" style="14" customWidth="1"/>
    <col min="2" max="2" width="9.140625" style="14"/>
    <col min="3" max="3" width="25.5703125" style="14" bestFit="1" customWidth="1"/>
    <col min="4" max="5" width="11.140625" style="14" bestFit="1" customWidth="1"/>
    <col min="6" max="10" width="12.7109375" style="14" bestFit="1" customWidth="1"/>
    <col min="11" max="19" width="11.140625" style="14" bestFit="1" customWidth="1"/>
    <col min="20" max="20" width="10.140625" style="14" bestFit="1" customWidth="1"/>
    <col min="21" max="23" width="11.140625" style="14" bestFit="1" customWidth="1"/>
    <col min="24" max="28" width="10.140625" style="14" bestFit="1" customWidth="1"/>
    <col min="29" max="29" width="11.140625" style="14" bestFit="1" customWidth="1"/>
    <col min="30" max="30" width="11.28515625" style="14" bestFit="1" customWidth="1"/>
    <col min="31" max="16384" width="9.140625" style="14"/>
  </cols>
  <sheetData>
    <row r="1" spans="1:30">
      <c r="C1" s="14" t="s">
        <v>174</v>
      </c>
    </row>
    <row r="2" spans="1:30">
      <c r="A2" s="14" t="s">
        <v>181</v>
      </c>
      <c r="C2" s="14" t="s">
        <v>118</v>
      </c>
    </row>
    <row r="3" spans="1:30">
      <c r="A3" s="14" t="s">
        <v>180</v>
      </c>
      <c r="D3" s="14" t="s">
        <v>119</v>
      </c>
      <c r="E3" s="14" t="s">
        <v>120</v>
      </c>
      <c r="F3" s="14" t="s">
        <v>121</v>
      </c>
      <c r="G3" s="14" t="s">
        <v>122</v>
      </c>
      <c r="H3" s="14" t="s">
        <v>123</v>
      </c>
      <c r="I3" s="14" t="s">
        <v>124</v>
      </c>
      <c r="J3" s="14" t="s">
        <v>125</v>
      </c>
      <c r="K3" s="14" t="s">
        <v>126</v>
      </c>
      <c r="L3" s="14" t="s">
        <v>127</v>
      </c>
      <c r="M3" s="14" t="s">
        <v>128</v>
      </c>
      <c r="N3" s="14" t="s">
        <v>129</v>
      </c>
      <c r="O3" s="14" t="s">
        <v>130</v>
      </c>
      <c r="P3" s="14" t="s">
        <v>131</v>
      </c>
      <c r="Q3" s="14" t="s">
        <v>132</v>
      </c>
      <c r="R3" s="14" t="s">
        <v>133</v>
      </c>
      <c r="S3" s="14" t="s">
        <v>134</v>
      </c>
      <c r="T3" s="14" t="s">
        <v>135</v>
      </c>
      <c r="U3" s="14" t="s">
        <v>136</v>
      </c>
      <c r="V3" s="14" t="s">
        <v>137</v>
      </c>
      <c r="W3" s="14" t="s">
        <v>138</v>
      </c>
      <c r="X3" s="14" t="s">
        <v>139</v>
      </c>
      <c r="Y3" s="14" t="s">
        <v>140</v>
      </c>
      <c r="Z3" s="14" t="s">
        <v>141</v>
      </c>
      <c r="AA3" s="14" t="s">
        <v>142</v>
      </c>
      <c r="AB3" s="14" t="s">
        <v>143</v>
      </c>
      <c r="AC3" s="14" t="s">
        <v>144</v>
      </c>
      <c r="AD3" s="14" t="s">
        <v>145</v>
      </c>
    </row>
    <row r="4" spans="1:30">
      <c r="A4" s="14">
        <f t="array" ref="A4:A30">TRANSPOSE('Significant Decline in Use'!C14:AC14)</f>
        <v>7.7546095450959154E-2</v>
      </c>
      <c r="C4" s="14" t="s">
        <v>146</v>
      </c>
      <c r="D4" s="14">
        <v>0.64709000000000005</v>
      </c>
      <c r="E4" s="14">
        <v>9.0109999999999996E-2</v>
      </c>
      <c r="F4" s="14">
        <v>5.5469999999999998E-2</v>
      </c>
      <c r="G4" s="14">
        <v>5.6730000000000003E-2</v>
      </c>
      <c r="H4" s="14">
        <v>5.3780000000000001E-2</v>
      </c>
      <c r="I4" s="14">
        <v>3.9890000000000002E-2</v>
      </c>
      <c r="J4" s="14">
        <v>2.0209999999999999E-2</v>
      </c>
      <c r="K4" s="14">
        <v>1.3860000000000001E-2</v>
      </c>
      <c r="L4" s="14">
        <v>1.057E-2</v>
      </c>
      <c r="M4" s="14">
        <v>-1.4999999999999999E-4</v>
      </c>
      <c r="N4" s="14">
        <v>1.5299999999999999E-3</v>
      </c>
      <c r="O4" s="14">
        <v>1.4400000000000001E-3</v>
      </c>
      <c r="P4" s="14">
        <v>-1.8000000000000001E-4</v>
      </c>
      <c r="Q4" s="14">
        <v>8.8999999999999995E-4</v>
      </c>
      <c r="R4" s="14">
        <v>-2.5400000000000002E-3</v>
      </c>
      <c r="S4" s="14">
        <v>6.7000000000000002E-4</v>
      </c>
      <c r="T4" s="14">
        <v>-4.4000000000000002E-4</v>
      </c>
      <c r="U4" s="14">
        <v>4.0000000000000003E-5</v>
      </c>
      <c r="V4" s="14">
        <v>5.9999999999999995E-4</v>
      </c>
      <c r="W4" s="14">
        <v>1.01E-3</v>
      </c>
      <c r="X4" s="14">
        <v>2.3000000000000001E-4</v>
      </c>
      <c r="Y4" s="14">
        <v>1E-3</v>
      </c>
      <c r="Z4" s="14">
        <v>7.7999999999999999E-4</v>
      </c>
      <c r="AA4" s="14">
        <v>6.9999999999999999E-4</v>
      </c>
      <c r="AB4" s="14">
        <v>-7.9000000000000001E-4</v>
      </c>
      <c r="AC4" s="14">
        <v>9.3999999999999997E-4</v>
      </c>
      <c r="AD4" s="14">
        <v>-8.7000000000000001E-4</v>
      </c>
    </row>
    <row r="5" spans="1:30">
      <c r="A5" s="14">
        <v>9.6082609711685071E-2</v>
      </c>
      <c r="C5" s="14" t="s">
        <v>147</v>
      </c>
      <c r="D5" s="14">
        <v>0.13177</v>
      </c>
      <c r="E5" s="14">
        <v>0.72160000000000002</v>
      </c>
      <c r="F5" s="14">
        <v>7.7329999999999996E-2</v>
      </c>
      <c r="G5" s="14">
        <v>-5.0099999999999997E-3</v>
      </c>
      <c r="H5" s="14">
        <v>-3.0000000000000001E-3</v>
      </c>
      <c r="I5" s="14">
        <v>1.439E-2</v>
      </c>
      <c r="J5" s="14">
        <v>1.6240000000000001E-2</v>
      </c>
      <c r="K5" s="14">
        <v>7.7600000000000004E-3</v>
      </c>
      <c r="L5" s="14">
        <v>4.3200000000000001E-3</v>
      </c>
      <c r="M5" s="14">
        <v>4.8599999999999997E-3</v>
      </c>
      <c r="N5" s="14">
        <v>3.47E-3</v>
      </c>
      <c r="O5" s="14">
        <v>-2.9E-4</v>
      </c>
      <c r="P5" s="14">
        <v>9.7000000000000005E-4</v>
      </c>
      <c r="Q5" s="14">
        <v>3.2499999999999999E-3</v>
      </c>
      <c r="R5" s="14">
        <v>1.81E-3</v>
      </c>
      <c r="S5" s="14">
        <v>1.8400000000000001E-3</v>
      </c>
      <c r="T5" s="14">
        <v>1.5200000000000001E-3</v>
      </c>
      <c r="U5" s="14">
        <v>1.5299999999999999E-3</v>
      </c>
      <c r="V5" s="14">
        <v>8.9999999999999998E-4</v>
      </c>
      <c r="W5" s="14">
        <v>-7.5000000000000002E-4</v>
      </c>
      <c r="X5" s="14">
        <v>8.8999999999999995E-4</v>
      </c>
      <c r="Y5" s="14">
        <v>9.6000000000000002E-4</v>
      </c>
      <c r="Z5" s="14">
        <v>5.4000000000000001E-4</v>
      </c>
      <c r="AA5" s="14">
        <v>8.7000000000000001E-4</v>
      </c>
      <c r="AB5" s="14">
        <v>2.0799999999999998E-3</v>
      </c>
      <c r="AC5" s="14">
        <v>-1E-4</v>
      </c>
      <c r="AD5" s="14">
        <v>7.3099999999999997E-3</v>
      </c>
    </row>
    <row r="6" spans="1:30">
      <c r="A6" s="14">
        <v>0.13701726742881207</v>
      </c>
      <c r="C6" s="14" t="s">
        <v>148</v>
      </c>
      <c r="D6" s="14">
        <v>-2.3800000000000002E-3</v>
      </c>
      <c r="E6" s="14">
        <v>0.27167000000000002</v>
      </c>
      <c r="F6" s="14">
        <v>0.57069000000000003</v>
      </c>
      <c r="G6" s="14">
        <v>7.7579999999999996E-2</v>
      </c>
      <c r="H6" s="14">
        <v>9.0399999999999994E-3</v>
      </c>
      <c r="I6" s="14">
        <v>1.027E-2</v>
      </c>
      <c r="J6" s="14">
        <v>1.153E-2</v>
      </c>
      <c r="K6" s="14">
        <v>1.6590000000000001E-2</v>
      </c>
      <c r="L6" s="14">
        <v>9.1000000000000004E-3</v>
      </c>
      <c r="M6" s="14">
        <v>4.3499999999999997E-3</v>
      </c>
      <c r="N6" s="14">
        <v>6.1900000000000002E-3</v>
      </c>
      <c r="O6" s="14">
        <v>4.15E-3</v>
      </c>
      <c r="P6" s="14">
        <v>4.3200000000000001E-3</v>
      </c>
      <c r="Q6" s="14">
        <v>-5.1999999999999995E-4</v>
      </c>
      <c r="R6" s="14">
        <v>2.3600000000000001E-3</v>
      </c>
      <c r="S6" s="14">
        <v>1.5100000000000001E-3</v>
      </c>
      <c r="T6" s="14">
        <v>1.9400000000000001E-3</v>
      </c>
      <c r="U6" s="14">
        <v>2.2599999999999999E-3</v>
      </c>
      <c r="V6" s="14">
        <v>-5.5000000000000003E-4</v>
      </c>
      <c r="W6" s="14">
        <v>-6.9999999999999999E-4</v>
      </c>
      <c r="X6" s="14">
        <v>1.17E-3</v>
      </c>
      <c r="Y6" s="14">
        <v>8.8999999999999995E-4</v>
      </c>
      <c r="Z6" s="14">
        <v>1.41E-3</v>
      </c>
      <c r="AA6" s="14">
        <v>1.0399999999999999E-3</v>
      </c>
      <c r="AB6" s="14">
        <v>-1.0200000000000001E-3</v>
      </c>
      <c r="AC6" s="14">
        <v>9.3999999999999997E-4</v>
      </c>
      <c r="AD6" s="14">
        <v>6.0099999999999997E-3</v>
      </c>
    </row>
    <row r="7" spans="1:30">
      <c r="A7" s="14">
        <v>0.13895733697978488</v>
      </c>
      <c r="C7" s="14" t="s">
        <v>149</v>
      </c>
      <c r="D7" s="14">
        <v>-7.5900000000000004E-3</v>
      </c>
      <c r="E7" s="14">
        <v>1.1769999999999999E-2</v>
      </c>
      <c r="F7" s="14">
        <v>0.38999</v>
      </c>
      <c r="G7" s="14">
        <v>0.45311000000000001</v>
      </c>
      <c r="H7" s="14">
        <v>9.5409999999999995E-2</v>
      </c>
      <c r="I7" s="14">
        <v>5.5999999999999999E-3</v>
      </c>
      <c r="J7" s="14">
        <v>7.8100000000000001E-3</v>
      </c>
      <c r="K7" s="14">
        <v>1.7899999999999999E-3</v>
      </c>
      <c r="L7" s="14">
        <v>-2.4000000000000001E-4</v>
      </c>
      <c r="M7" s="14">
        <v>8.2199999999999999E-3</v>
      </c>
      <c r="N7" s="14">
        <v>-1.33E-3</v>
      </c>
      <c r="O7" s="14">
        <v>8.2500000000000004E-3</v>
      </c>
      <c r="P7" s="14">
        <v>2.0200000000000001E-3</v>
      </c>
      <c r="Q7" s="14">
        <v>4.5700000000000003E-3</v>
      </c>
      <c r="R7" s="14">
        <v>3.0699999999999998E-3</v>
      </c>
      <c r="S7" s="14">
        <v>-4.0000000000000003E-5</v>
      </c>
      <c r="T7" s="14">
        <v>1.9E-3</v>
      </c>
      <c r="U7" s="14">
        <v>9.3000000000000005E-4</v>
      </c>
      <c r="V7" s="14">
        <v>1.15E-3</v>
      </c>
      <c r="W7" s="14">
        <v>1.2600000000000001E-3</v>
      </c>
      <c r="X7" s="14">
        <v>8.0000000000000004E-4</v>
      </c>
      <c r="Y7" s="14">
        <v>8.7000000000000001E-4</v>
      </c>
      <c r="Z7" s="14">
        <v>9.3000000000000005E-4</v>
      </c>
      <c r="AA7" s="14">
        <v>7.5000000000000002E-4</v>
      </c>
      <c r="AB7" s="14">
        <v>2.2699999999999999E-3</v>
      </c>
      <c r="AC7" s="14">
        <v>-1.32E-3</v>
      </c>
      <c r="AD7" s="14">
        <v>5.8300000000000001E-3</v>
      </c>
    </row>
    <row r="8" spans="1:30">
      <c r="A8" s="14">
        <v>0.1308904884532891</v>
      </c>
      <c r="C8" s="14" t="s">
        <v>150</v>
      </c>
      <c r="D8" s="14">
        <v>4.2999999999999999E-4</v>
      </c>
      <c r="E8" s="14">
        <v>-3.63E-3</v>
      </c>
      <c r="F8" s="14">
        <v>9.9279999999999993E-2</v>
      </c>
      <c r="G8" s="14">
        <v>0.41725000000000001</v>
      </c>
      <c r="H8" s="14">
        <v>0.33157999999999999</v>
      </c>
      <c r="I8" s="14">
        <v>9.4030000000000002E-2</v>
      </c>
      <c r="J8" s="14">
        <v>1.2409999999999999E-2</v>
      </c>
      <c r="K8" s="14">
        <v>8.6E-3</v>
      </c>
      <c r="L8" s="14">
        <v>1.0330000000000001E-2</v>
      </c>
      <c r="M8" s="14">
        <v>5.8399999999999997E-3</v>
      </c>
      <c r="N8" s="14">
        <v>5.0600000000000003E-3</v>
      </c>
      <c r="O8" s="14">
        <v>1.5200000000000001E-3</v>
      </c>
      <c r="P8" s="14">
        <v>3.9500000000000004E-3</v>
      </c>
      <c r="Q8" s="14">
        <v>5.5000000000000003E-4</v>
      </c>
      <c r="R8" s="14">
        <v>1.0200000000000001E-3</v>
      </c>
      <c r="S8" s="14">
        <v>3.3300000000000001E-3</v>
      </c>
      <c r="T8" s="14">
        <v>2.4599999999999999E-3</v>
      </c>
      <c r="U8" s="14">
        <v>1.6199999999999999E-3</v>
      </c>
      <c r="V8" s="14">
        <v>2.0600000000000002E-3</v>
      </c>
      <c r="W8" s="14">
        <v>2.1800000000000001E-3</v>
      </c>
      <c r="X8" s="14">
        <v>1.6800000000000001E-3</v>
      </c>
      <c r="Y8" s="14">
        <v>1.16E-3</v>
      </c>
      <c r="Z8" s="14">
        <v>1.1900000000000001E-3</v>
      </c>
      <c r="AA8" s="14">
        <v>1.2800000000000001E-3</v>
      </c>
      <c r="AB8" s="14">
        <v>3.3E-4</v>
      </c>
      <c r="AC8" s="14">
        <v>-3.6000000000000002E-4</v>
      </c>
      <c r="AD8" s="14">
        <v>8.5299999999999994E-3</v>
      </c>
    </row>
    <row r="9" spans="1:30">
      <c r="A9" s="14">
        <v>0.1002924565190733</v>
      </c>
      <c r="C9" s="14" t="s">
        <v>151</v>
      </c>
      <c r="D9" s="14">
        <v>-1.6209999999999999E-2</v>
      </c>
      <c r="E9" s="14">
        <v>-2.844E-2</v>
      </c>
      <c r="F9" s="14">
        <v>-8.6800000000000002E-3</v>
      </c>
      <c r="G9" s="14">
        <v>0.16120999999999999</v>
      </c>
      <c r="H9" s="14">
        <v>0.40966999999999998</v>
      </c>
      <c r="I9" s="14">
        <v>0.28549999999999998</v>
      </c>
      <c r="J9" s="14">
        <v>0.11885999999999999</v>
      </c>
      <c r="K9" s="14">
        <v>3.007E-2</v>
      </c>
      <c r="L9" s="14">
        <v>1.0359999999999999E-2</v>
      </c>
      <c r="M9" s="14">
        <v>9.1500000000000001E-3</v>
      </c>
      <c r="N9" s="14">
        <v>9.9399999999999992E-3</v>
      </c>
      <c r="O9" s="14">
        <v>1.2600000000000001E-3</v>
      </c>
      <c r="P9" s="14">
        <v>1.81E-3</v>
      </c>
      <c r="Q9" s="14">
        <v>4.62E-3</v>
      </c>
      <c r="R9" s="14">
        <v>1.73E-3</v>
      </c>
      <c r="S9" s="14">
        <v>-1.8699999999999999E-3</v>
      </c>
      <c r="T9" s="14">
        <v>9.5E-4</v>
      </c>
      <c r="U9" s="14">
        <v>-1.3799999999999999E-3</v>
      </c>
      <c r="V9" s="14">
        <v>3.3E-4</v>
      </c>
      <c r="W9" s="14">
        <v>-1.5499999999999999E-3</v>
      </c>
      <c r="X9" s="14">
        <v>-9.7999999999999997E-4</v>
      </c>
      <c r="Y9" s="14">
        <v>6.8000000000000005E-4</v>
      </c>
      <c r="Z9" s="14">
        <v>1.3999999999999999E-4</v>
      </c>
      <c r="AA9" s="14">
        <v>9.3000000000000005E-4</v>
      </c>
      <c r="AB9" s="14">
        <v>-5.1999999999999995E-4</v>
      </c>
      <c r="AC9" s="14">
        <v>7.5000000000000002E-4</v>
      </c>
      <c r="AD9" s="14">
        <v>2.49E-3</v>
      </c>
    </row>
    <row r="10" spans="1:30">
      <c r="A10" s="14">
        <v>7.8682140948308776E-2</v>
      </c>
      <c r="C10" s="14" t="s">
        <v>152</v>
      </c>
      <c r="D10" s="14">
        <v>4.5999999999999999E-3</v>
      </c>
      <c r="E10" s="14">
        <v>1.3599999999999999E-2</v>
      </c>
      <c r="F10" s="14">
        <v>-1.01E-2</v>
      </c>
      <c r="G10" s="14">
        <v>3.0790000000000001E-2</v>
      </c>
      <c r="H10" s="14">
        <v>0.22403000000000001</v>
      </c>
      <c r="I10" s="14">
        <v>0.34882000000000002</v>
      </c>
      <c r="J10" s="14">
        <v>0.22151000000000001</v>
      </c>
      <c r="K10" s="14">
        <v>9.3369999999999995E-2</v>
      </c>
      <c r="L10" s="14">
        <v>3.2000000000000001E-2</v>
      </c>
      <c r="M10" s="14">
        <v>1.719E-2</v>
      </c>
      <c r="N10" s="14">
        <v>6.6E-3</v>
      </c>
      <c r="O10" s="14">
        <v>7.8100000000000001E-3</v>
      </c>
      <c r="P10" s="14">
        <v>8.1999999999999998E-4</v>
      </c>
      <c r="Q10" s="14">
        <v>2.6900000000000001E-3</v>
      </c>
      <c r="R10" s="14">
        <v>-6.2E-4</v>
      </c>
      <c r="S10" s="14">
        <v>2.5000000000000001E-3</v>
      </c>
      <c r="T10" s="14">
        <v>8.7000000000000001E-4</v>
      </c>
      <c r="U10" s="14">
        <v>6.0699999999999999E-3</v>
      </c>
      <c r="V10" s="14">
        <v>-4.6999999999999999E-4</v>
      </c>
      <c r="W10" s="14">
        <v>9.8999999999999999E-4</v>
      </c>
      <c r="X10" s="14">
        <v>4.8900000000000002E-3</v>
      </c>
      <c r="Y10" s="14">
        <v>1.1000000000000001E-3</v>
      </c>
      <c r="Z10" s="14">
        <v>1.2600000000000001E-3</v>
      </c>
      <c r="AA10" s="14">
        <v>5.5999999999999995E-4</v>
      </c>
      <c r="AB10" s="14">
        <v>2.99E-3</v>
      </c>
      <c r="AC10" s="14">
        <v>4.4900000000000001E-3</v>
      </c>
      <c r="AD10" s="14">
        <v>2.2000000000000001E-3</v>
      </c>
    </row>
    <row r="11" spans="1:30">
      <c r="A11" s="14">
        <v>5.2159759001020357E-2</v>
      </c>
      <c r="C11" s="14" t="s">
        <v>153</v>
      </c>
      <c r="D11" s="14">
        <v>9.8899999999999995E-3</v>
      </c>
      <c r="E11" s="14">
        <v>1.1000000000000001E-3</v>
      </c>
      <c r="F11" s="14">
        <v>1.128E-2</v>
      </c>
      <c r="G11" s="14">
        <v>2.111E-2</v>
      </c>
      <c r="H11" s="14">
        <v>9.0410000000000004E-2</v>
      </c>
      <c r="I11" s="14">
        <v>0.22800000000000001</v>
      </c>
      <c r="J11" s="14">
        <v>0.29343999999999998</v>
      </c>
      <c r="K11" s="14">
        <v>0.19389999999999999</v>
      </c>
      <c r="L11" s="14">
        <v>9.0450000000000003E-2</v>
      </c>
      <c r="M11" s="14">
        <v>1.566E-2</v>
      </c>
      <c r="N11" s="14">
        <v>3.5100000000000001E-3</v>
      </c>
      <c r="O11" s="14">
        <v>1.3500000000000001E-3</v>
      </c>
      <c r="P11" s="14">
        <v>7.3400000000000002E-3</v>
      </c>
      <c r="Q11" s="14">
        <v>3.7299999999999998E-3</v>
      </c>
      <c r="R11" s="14">
        <v>8.2500000000000004E-3</v>
      </c>
      <c r="S11" s="14">
        <v>5.6100000000000004E-3</v>
      </c>
      <c r="T11" s="14">
        <v>4.47E-3</v>
      </c>
      <c r="U11" s="14">
        <v>1.98E-3</v>
      </c>
      <c r="V11" s="14">
        <v>3.8400000000000001E-3</v>
      </c>
      <c r="W11" s="14">
        <v>-1.17E-3</v>
      </c>
      <c r="X11" s="14">
        <v>-1.5E-3</v>
      </c>
      <c r="Y11" s="14">
        <v>1.5E-3</v>
      </c>
      <c r="Z11" s="14">
        <v>1.5499999999999999E-3</v>
      </c>
      <c r="AA11" s="14">
        <v>1.01E-3</v>
      </c>
      <c r="AB11" s="14">
        <v>-5.6999999999999998E-4</v>
      </c>
      <c r="AC11" s="14">
        <v>-1.49E-3</v>
      </c>
      <c r="AD11" s="14">
        <v>1.357E-2</v>
      </c>
    </row>
    <row r="12" spans="1:30">
      <c r="A12" s="14">
        <v>4.1553582708045565E-2</v>
      </c>
      <c r="C12" s="14" t="s">
        <v>154</v>
      </c>
      <c r="D12" s="14">
        <v>-8.0000000000000004E-4</v>
      </c>
      <c r="E12" s="14">
        <v>-2.29E-2</v>
      </c>
      <c r="F12" s="14">
        <v>9.6100000000000005E-3</v>
      </c>
      <c r="G12" s="14">
        <v>7.6859999999999998E-2</v>
      </c>
      <c r="H12" s="14">
        <v>4.4819999999999999E-2</v>
      </c>
      <c r="I12" s="14">
        <v>0.16688</v>
      </c>
      <c r="J12" s="14">
        <v>0.21672</v>
      </c>
      <c r="K12" s="14">
        <v>0.20401</v>
      </c>
      <c r="L12" s="14">
        <v>0.13941000000000001</v>
      </c>
      <c r="M12" s="14">
        <v>7.9210000000000003E-2</v>
      </c>
      <c r="N12" s="14">
        <v>4.1200000000000001E-2</v>
      </c>
      <c r="O12" s="14">
        <v>5.5100000000000001E-3</v>
      </c>
      <c r="P12" s="14">
        <v>1.3860000000000001E-2</v>
      </c>
      <c r="Q12" s="14">
        <v>9.8099999999999993E-3</v>
      </c>
      <c r="R12" s="14">
        <v>6.0299999999999998E-3</v>
      </c>
      <c r="S12" s="14">
        <v>3.79E-3</v>
      </c>
      <c r="T12" s="14">
        <v>1.09E-3</v>
      </c>
      <c r="U12" s="14">
        <v>1.2999999999999999E-3</v>
      </c>
      <c r="V12" s="14">
        <v>6.8100000000000001E-3</v>
      </c>
      <c r="W12" s="14">
        <v>7.8100000000000001E-3</v>
      </c>
      <c r="X12" s="14">
        <v>9.5E-4</v>
      </c>
      <c r="Y12" s="14">
        <v>-1E-4</v>
      </c>
      <c r="Z12" s="14">
        <v>2.2000000000000001E-3</v>
      </c>
      <c r="AA12" s="14">
        <v>1.6299999999999999E-3</v>
      </c>
      <c r="AB12" s="14">
        <v>1.0200000000000001E-3</v>
      </c>
      <c r="AC12" s="14">
        <v>-2.33E-3</v>
      </c>
      <c r="AD12" s="14">
        <v>1.274E-2</v>
      </c>
    </row>
    <row r="13" spans="1:30">
      <c r="A13" s="14">
        <v>2.5850240975842258E-2</v>
      </c>
      <c r="C13" s="14" t="s">
        <v>155</v>
      </c>
      <c r="D13" s="14">
        <v>-1.197E-2</v>
      </c>
      <c r="E13" s="14">
        <v>3.2210000000000003E-2</v>
      </c>
      <c r="F13" s="14">
        <v>-5.5759999999999997E-2</v>
      </c>
      <c r="G13" s="14">
        <v>1.64E-3</v>
      </c>
      <c r="H13" s="14">
        <v>3.2620000000000003E-2</v>
      </c>
      <c r="I13" s="14">
        <v>8.8679999999999995E-2</v>
      </c>
      <c r="J13" s="14">
        <v>0.16084000000000001</v>
      </c>
      <c r="K13" s="14">
        <v>0.23330999999999999</v>
      </c>
      <c r="L13" s="14">
        <v>0.18479999999999999</v>
      </c>
      <c r="M13" s="14">
        <v>0.13355</v>
      </c>
      <c r="N13" s="14">
        <v>9.8140000000000005E-2</v>
      </c>
      <c r="O13" s="14">
        <v>4.6449999999999998E-2</v>
      </c>
      <c r="P13" s="14">
        <v>2.019E-2</v>
      </c>
      <c r="Q13" s="14">
        <v>1.146E-2</v>
      </c>
      <c r="R13" s="14">
        <v>1.0500000000000001E-2</v>
      </c>
      <c r="S13" s="14">
        <v>1.3699999999999999E-3</v>
      </c>
      <c r="T13" s="14">
        <v>-3.81E-3</v>
      </c>
      <c r="U13" s="14">
        <v>4.2199999999999998E-3</v>
      </c>
      <c r="V13" s="14">
        <v>-7.8499999999999993E-3</v>
      </c>
      <c r="W13" s="14">
        <v>-7.9900000000000006E-3</v>
      </c>
      <c r="X13" s="14">
        <v>-1.2099999999999999E-3</v>
      </c>
      <c r="Y13" s="14">
        <v>6.8000000000000005E-4</v>
      </c>
      <c r="Z13" s="14">
        <v>-1.23E-3</v>
      </c>
      <c r="AA13" s="14">
        <v>2.2200000000000002E-3</v>
      </c>
      <c r="AB13" s="14">
        <v>6.3000000000000003E-4</v>
      </c>
      <c r="AC13" s="14">
        <v>4.6600000000000001E-3</v>
      </c>
      <c r="AD13" s="14">
        <v>7.0099999999999997E-3</v>
      </c>
    </row>
    <row r="14" spans="1:30">
      <c r="A14" s="14">
        <v>2.298698984963015E-2</v>
      </c>
      <c r="C14" s="14" t="s">
        <v>156</v>
      </c>
      <c r="D14" s="14">
        <v>-1.264E-2</v>
      </c>
      <c r="E14" s="14">
        <v>-3.4970000000000001E-2</v>
      </c>
      <c r="F14" s="14">
        <v>9.2310000000000003E-2</v>
      </c>
      <c r="G14" s="14">
        <v>-5.1929999999999997E-2</v>
      </c>
      <c r="H14" s="14">
        <v>3.2910000000000002E-2</v>
      </c>
      <c r="I14" s="14">
        <v>7.0290000000000005E-2</v>
      </c>
      <c r="J14" s="14">
        <v>0.12692999999999999</v>
      </c>
      <c r="K14" s="14">
        <v>0.13089000000000001</v>
      </c>
      <c r="L14" s="14">
        <v>0.14802999999999999</v>
      </c>
      <c r="M14" s="14">
        <v>0.14746000000000001</v>
      </c>
      <c r="N14" s="14">
        <v>0.11667</v>
      </c>
      <c r="O14" s="14">
        <v>7.9869999999999997E-2</v>
      </c>
      <c r="P14" s="14">
        <v>5.1979999999999998E-2</v>
      </c>
      <c r="Q14" s="14">
        <v>1.5520000000000001E-2</v>
      </c>
      <c r="R14" s="14">
        <v>1.247E-2</v>
      </c>
      <c r="S14" s="14">
        <v>1.6469999999999999E-2</v>
      </c>
      <c r="T14" s="14">
        <v>1.1299999999999999E-3</v>
      </c>
      <c r="U14" s="14">
        <v>7.1000000000000004E-3</v>
      </c>
      <c r="V14" s="14">
        <v>9.41E-3</v>
      </c>
      <c r="W14" s="14">
        <v>8.4100000000000008E-3</v>
      </c>
      <c r="X14" s="14">
        <v>5.1700000000000001E-3</v>
      </c>
      <c r="Y14" s="14">
        <v>2E-3</v>
      </c>
      <c r="Z14" s="14">
        <v>1.0499999999999999E-3</v>
      </c>
      <c r="AA14" s="14">
        <v>1.1299999999999999E-3</v>
      </c>
      <c r="AB14" s="14">
        <v>1.1299999999999999E-3</v>
      </c>
      <c r="AC14" s="14">
        <v>-6.13E-3</v>
      </c>
      <c r="AD14" s="14">
        <v>2.179E-2</v>
      </c>
    </row>
    <row r="15" spans="1:30">
      <c r="A15" s="14">
        <v>1.3666095173310567E-2</v>
      </c>
      <c r="C15" s="14" t="s">
        <v>157</v>
      </c>
      <c r="D15" s="14">
        <v>-2.2540000000000001E-2</v>
      </c>
      <c r="E15" s="14">
        <v>-2.3099999999999999E-2</v>
      </c>
      <c r="F15" s="14">
        <v>-5.2409999999999998E-2</v>
      </c>
      <c r="G15" s="14">
        <v>9.1130000000000003E-2</v>
      </c>
      <c r="H15" s="14">
        <v>0.13586999999999999</v>
      </c>
      <c r="I15" s="14">
        <v>8.1040000000000001E-2</v>
      </c>
      <c r="J15" s="14">
        <v>3.0620000000000001E-2</v>
      </c>
      <c r="K15" s="14">
        <v>7.3279999999999998E-2</v>
      </c>
      <c r="L15" s="14">
        <v>0.12236</v>
      </c>
      <c r="M15" s="14">
        <v>0.11033</v>
      </c>
      <c r="N15" s="14">
        <v>0.12089</v>
      </c>
      <c r="O15" s="14">
        <v>0.11074000000000001</v>
      </c>
      <c r="P15" s="14">
        <v>6.5629999999999994E-2</v>
      </c>
      <c r="Q15" s="14">
        <v>3.2680000000000001E-2</v>
      </c>
      <c r="R15" s="14">
        <v>1.9429999999999999E-2</v>
      </c>
      <c r="S15" s="14">
        <v>3.47E-3</v>
      </c>
      <c r="T15" s="14">
        <v>1.8500000000000001E-3</v>
      </c>
      <c r="U15" s="14">
        <v>1.221E-2</v>
      </c>
      <c r="V15" s="14">
        <v>1.848E-2</v>
      </c>
      <c r="W15" s="14">
        <v>4.7200000000000002E-3</v>
      </c>
      <c r="X15" s="14">
        <v>9.6000000000000002E-4</v>
      </c>
      <c r="Y15" s="14">
        <v>4.0999999999999999E-4</v>
      </c>
      <c r="Z15" s="14">
        <v>7.2000000000000005E-4</v>
      </c>
      <c r="AA15" s="14">
        <v>7.2999999999999996E-4</v>
      </c>
      <c r="AB15" s="14">
        <v>1.98E-3</v>
      </c>
      <c r="AC15" s="14">
        <v>1.3089999999999999E-2</v>
      </c>
      <c r="AD15" s="14">
        <v>2.0240000000000001E-2</v>
      </c>
    </row>
    <row r="16" spans="1:30">
      <c r="A16" s="14">
        <v>1.3663781435026758E-2</v>
      </c>
      <c r="C16" s="14" t="s">
        <v>158</v>
      </c>
      <c r="D16" s="14">
        <v>-8.9480000000000004E-2</v>
      </c>
      <c r="E16" s="14">
        <v>-5.2389999999999999E-2</v>
      </c>
      <c r="F16" s="14">
        <v>2.1329999999999998E-2</v>
      </c>
      <c r="G16" s="14">
        <v>8.9499999999999996E-2</v>
      </c>
      <c r="H16" s="14">
        <v>-1.1690000000000001E-2</v>
      </c>
      <c r="I16" s="14">
        <v>6.08E-2</v>
      </c>
      <c r="J16" s="14">
        <v>0.13203999999999999</v>
      </c>
      <c r="K16" s="14">
        <v>0.16409000000000001</v>
      </c>
      <c r="L16" s="14">
        <v>0.13955000000000001</v>
      </c>
      <c r="M16" s="14">
        <v>0.14396999999999999</v>
      </c>
      <c r="N16" s="14">
        <v>0.10609</v>
      </c>
      <c r="O16" s="14">
        <v>6.3839999999999994E-2</v>
      </c>
      <c r="P16" s="14">
        <v>6.9019999999999998E-2</v>
      </c>
      <c r="Q16" s="14">
        <v>1.753E-2</v>
      </c>
      <c r="R16" s="14">
        <v>3.5139999999999998E-2</v>
      </c>
      <c r="S16" s="14">
        <v>1.184E-2</v>
      </c>
      <c r="T16" s="14">
        <v>9.2599999999999991E-3</v>
      </c>
      <c r="U16" s="14">
        <v>1.4E-2</v>
      </c>
      <c r="V16" s="14">
        <v>-7.5399999999999998E-3</v>
      </c>
      <c r="W16" s="14">
        <v>2.1680000000000001E-2</v>
      </c>
      <c r="X16" s="14">
        <v>3.8800000000000002E-3</v>
      </c>
      <c r="Y16" s="14">
        <v>5.5999999999999995E-4</v>
      </c>
      <c r="Z16" s="14">
        <v>-5.1000000000000004E-4</v>
      </c>
      <c r="AA16" s="14">
        <v>-3.3E-4</v>
      </c>
      <c r="AB16" s="14">
        <v>4.7000000000000002E-3</v>
      </c>
      <c r="AC16" s="14">
        <v>1.8000000000000001E-4</v>
      </c>
      <c r="AD16" s="14">
        <v>-6.0999999999999997E-4</v>
      </c>
    </row>
    <row r="17" spans="1:30">
      <c r="A17" s="14">
        <v>8.18484917896997E-3</v>
      </c>
      <c r="C17" s="14" t="s">
        <v>159</v>
      </c>
      <c r="D17" s="14">
        <v>-2.0100000000000001E-3</v>
      </c>
      <c r="E17" s="14">
        <v>-9.0200000000000002E-2</v>
      </c>
      <c r="F17" s="14">
        <v>-6.8190000000000001E-2</v>
      </c>
      <c r="G17" s="14">
        <v>4.9070000000000003E-2</v>
      </c>
      <c r="H17" s="14">
        <v>5.1790000000000003E-2</v>
      </c>
      <c r="I17" s="14">
        <v>0.14466999999999999</v>
      </c>
      <c r="J17" s="14">
        <v>8.448E-2</v>
      </c>
      <c r="K17" s="14">
        <v>9.6339999999999995E-2</v>
      </c>
      <c r="L17" s="14">
        <v>5.638E-2</v>
      </c>
      <c r="M17" s="14">
        <v>5.824E-2</v>
      </c>
      <c r="N17" s="14">
        <v>9.5979999999999996E-2</v>
      </c>
      <c r="O17" s="14">
        <v>9.7970000000000002E-2</v>
      </c>
      <c r="P17" s="14">
        <v>5.9400000000000001E-2</v>
      </c>
      <c r="Q17" s="14">
        <v>5.3469999999999997E-2</v>
      </c>
      <c r="R17" s="14">
        <v>7.3469999999999994E-2</v>
      </c>
      <c r="S17" s="14">
        <v>2.64E-2</v>
      </c>
      <c r="T17" s="14">
        <v>1.7330000000000002E-2</v>
      </c>
      <c r="U17" s="14">
        <v>-2.3E-3</v>
      </c>
      <c r="V17" s="14">
        <v>3.243E-2</v>
      </c>
      <c r="W17" s="14">
        <v>-1.359E-2</v>
      </c>
      <c r="X17" s="14">
        <v>6.7099999999999998E-3</v>
      </c>
      <c r="Y17" s="14">
        <v>2.3600000000000001E-3</v>
      </c>
      <c r="Z17" s="14">
        <v>3.2799999999999999E-3</v>
      </c>
      <c r="AA17" s="14">
        <v>-1.25E-3</v>
      </c>
      <c r="AB17" s="14">
        <v>9.3000000000000005E-4</v>
      </c>
      <c r="AC17" s="14">
        <v>-1.5100000000000001E-3</v>
      </c>
      <c r="AD17" s="14">
        <v>2.3460000000000002E-2</v>
      </c>
    </row>
    <row r="18" spans="1:30">
      <c r="A18" s="14">
        <v>8.7146952459619485E-3</v>
      </c>
      <c r="C18" s="14" t="s">
        <v>160</v>
      </c>
      <c r="D18" s="14">
        <v>3.5999999999999999E-3</v>
      </c>
      <c r="E18" s="14">
        <v>-2.5000000000000001E-2</v>
      </c>
      <c r="F18" s="14">
        <v>3.4380000000000001E-2</v>
      </c>
      <c r="G18" s="14">
        <v>-1.1610000000000001E-2</v>
      </c>
      <c r="H18" s="14">
        <v>-4.1000000000000002E-2</v>
      </c>
      <c r="I18" s="14">
        <v>8.6199999999999999E-2</v>
      </c>
      <c r="J18" s="14">
        <v>5.1799999999999999E-2</v>
      </c>
      <c r="K18" s="14">
        <v>9.4289999999999999E-2</v>
      </c>
      <c r="L18" s="14">
        <v>0.11151999999999999</v>
      </c>
      <c r="M18" s="14">
        <v>0.1232</v>
      </c>
      <c r="N18" s="14">
        <v>6.5310000000000007E-2</v>
      </c>
      <c r="O18" s="14">
        <v>9.8030000000000006E-2</v>
      </c>
      <c r="P18" s="14">
        <v>4.1419999999999998E-2</v>
      </c>
      <c r="Q18" s="14">
        <v>3.5000000000000003E-2</v>
      </c>
      <c r="R18" s="14">
        <v>5.4140000000000001E-2</v>
      </c>
      <c r="S18" s="14">
        <v>6.0299999999999999E-2</v>
      </c>
      <c r="T18" s="14">
        <v>9.5399999999999999E-3</v>
      </c>
      <c r="U18" s="14">
        <v>2.0670000000000001E-2</v>
      </c>
      <c r="V18" s="14">
        <v>2.3550000000000001E-2</v>
      </c>
      <c r="W18" s="14">
        <v>3.3939999999999998E-2</v>
      </c>
      <c r="X18" s="14">
        <v>1.333E-2</v>
      </c>
      <c r="Y18" s="14">
        <v>2.2499999999999998E-3</v>
      </c>
      <c r="Z18" s="14">
        <v>-1.6199999999999999E-3</v>
      </c>
      <c r="AA18" s="14">
        <v>7.5000000000000002E-4</v>
      </c>
      <c r="AB18" s="14">
        <v>4.2999999999999999E-4</v>
      </c>
      <c r="AC18" s="14">
        <v>1.342E-2</v>
      </c>
      <c r="AD18" s="14">
        <v>5.7549999999999997E-2</v>
      </c>
    </row>
    <row r="19" spans="1:30">
      <c r="A19" s="14">
        <v>5.3690296875759198E-3</v>
      </c>
      <c r="C19" s="14" t="s">
        <v>161</v>
      </c>
      <c r="D19" s="14">
        <v>-2.4060000000000002E-2</v>
      </c>
      <c r="E19" s="14">
        <v>-6.0389999999999999E-2</v>
      </c>
      <c r="F19" s="14">
        <v>-5.8950000000000002E-2</v>
      </c>
      <c r="G19" s="14">
        <v>-2.0809999999999999E-2</v>
      </c>
      <c r="H19" s="14">
        <v>0.12798999999999999</v>
      </c>
      <c r="I19" s="14">
        <v>4.1110000000000001E-2</v>
      </c>
      <c r="J19" s="14">
        <v>0.14154</v>
      </c>
      <c r="K19" s="14">
        <v>8.1140000000000004E-2</v>
      </c>
      <c r="L19" s="14">
        <v>3.8170000000000003E-2</v>
      </c>
      <c r="M19" s="14">
        <v>0.10062</v>
      </c>
      <c r="N19" s="14">
        <v>8.362E-2</v>
      </c>
      <c r="O19" s="14">
        <v>3.6540000000000003E-2</v>
      </c>
      <c r="P19" s="14">
        <v>7.0279999999999995E-2</v>
      </c>
      <c r="Q19" s="14">
        <v>5.5550000000000002E-2</v>
      </c>
      <c r="R19" s="14">
        <v>6.8309999999999996E-2</v>
      </c>
      <c r="S19" s="14">
        <v>4.1110000000000001E-2</v>
      </c>
      <c r="T19" s="14">
        <v>1.1270000000000001E-2</v>
      </c>
      <c r="U19" s="14">
        <v>4.15E-3</v>
      </c>
      <c r="V19" s="14">
        <v>3.7399999999999998E-3</v>
      </c>
      <c r="W19" s="14">
        <v>9.4999999999999998E-3</v>
      </c>
      <c r="X19" s="14">
        <v>3.9100000000000003E-3</v>
      </c>
      <c r="Y19" s="14">
        <v>2.8E-3</v>
      </c>
      <c r="Z19" s="14">
        <v>4.0499999999999998E-3</v>
      </c>
      <c r="AA19" s="14">
        <v>3.3500000000000001E-3</v>
      </c>
      <c r="AB19" s="14">
        <v>7.2100000000000003E-3</v>
      </c>
      <c r="AC19" s="14">
        <v>2.1780000000000001E-2</v>
      </c>
      <c r="AD19" s="14">
        <v>4.829E-2</v>
      </c>
    </row>
    <row r="20" spans="1:30">
      <c r="A20" s="14">
        <v>6.0423275281639797E-3</v>
      </c>
      <c r="C20" s="14" t="s">
        <v>162</v>
      </c>
      <c r="D20" s="14">
        <v>-0.13195999999999999</v>
      </c>
      <c r="E20" s="14">
        <v>5.7020000000000001E-2</v>
      </c>
      <c r="F20" s="14">
        <v>-1.7899999999999999E-2</v>
      </c>
      <c r="G20" s="14">
        <v>7.5230000000000005E-2</v>
      </c>
      <c r="H20" s="14">
        <v>4.7870000000000003E-2</v>
      </c>
      <c r="I20" s="14">
        <v>-2.555E-2</v>
      </c>
      <c r="J20" s="14">
        <v>6.8029999999999993E-2</v>
      </c>
      <c r="K20" s="14">
        <v>9.2560000000000003E-2</v>
      </c>
      <c r="L20" s="14">
        <v>8.5099999999999995E-2</v>
      </c>
      <c r="M20" s="14">
        <v>6.6339999999999996E-2</v>
      </c>
      <c r="N20" s="14">
        <v>4.6510000000000003E-2</v>
      </c>
      <c r="O20" s="14">
        <v>7.2650000000000006E-2</v>
      </c>
      <c r="P20" s="14">
        <v>6.7799999999999999E-2</v>
      </c>
      <c r="Q20" s="14">
        <v>3.7600000000000001E-2</v>
      </c>
      <c r="R20" s="14">
        <v>6.3439999999999996E-2</v>
      </c>
      <c r="S20" s="14">
        <v>5.0049999999999997E-2</v>
      </c>
      <c r="T20" s="14">
        <v>1.3690000000000001E-2</v>
      </c>
      <c r="U20" s="14">
        <v>2.4340000000000001E-2</v>
      </c>
      <c r="V20" s="14">
        <v>3.4200000000000001E-2</v>
      </c>
      <c r="W20" s="14">
        <v>5.33E-2</v>
      </c>
      <c r="X20" s="14">
        <v>1.468E-2</v>
      </c>
      <c r="Y20" s="14">
        <v>1.2999999999999999E-4</v>
      </c>
      <c r="Z20" s="14">
        <v>2.7999999999999998E-4</v>
      </c>
      <c r="AA20" s="14">
        <v>9.1E-4</v>
      </c>
      <c r="AB20" s="14">
        <v>-7.1999999999999998E-3</v>
      </c>
      <c r="AC20" s="14">
        <v>4.8700000000000002E-3</v>
      </c>
      <c r="AD20" s="14">
        <v>4.0590000000000001E-2</v>
      </c>
    </row>
    <row r="21" spans="1:30">
      <c r="A21" s="14">
        <v>3.8500605042561214E-3</v>
      </c>
      <c r="C21" s="14" t="s">
        <v>163</v>
      </c>
      <c r="D21" s="14">
        <v>-3.6069999999999998E-2</v>
      </c>
      <c r="E21" s="14">
        <v>-0.14876</v>
      </c>
      <c r="F21" s="14">
        <v>-3.7539999999999997E-2</v>
      </c>
      <c r="G21" s="14">
        <v>1.9869999999999999E-2</v>
      </c>
      <c r="H21" s="14">
        <v>7.5160000000000005E-2</v>
      </c>
      <c r="I21" s="14">
        <v>7.5029999999999999E-2</v>
      </c>
      <c r="J21" s="14">
        <v>0.11033999999999999</v>
      </c>
      <c r="K21" s="14">
        <v>7.4289999999999995E-2</v>
      </c>
      <c r="L21" s="14">
        <v>6.4519999999999994E-2</v>
      </c>
      <c r="M21" s="14">
        <v>4.8300000000000003E-2</v>
      </c>
      <c r="N21" s="14">
        <v>9.1170000000000001E-2</v>
      </c>
      <c r="O21" s="14">
        <v>4.4609999999999997E-2</v>
      </c>
      <c r="P21" s="14">
        <v>4.3610000000000003E-2</v>
      </c>
      <c r="Q21" s="14">
        <v>6.5579999999999999E-2</v>
      </c>
      <c r="R21" s="14">
        <v>2.6679999999999999E-2</v>
      </c>
      <c r="S21" s="14">
        <v>2.6270000000000002E-2</v>
      </c>
      <c r="T21" s="14">
        <v>1.7919999999999998E-2</v>
      </c>
      <c r="U21" s="14">
        <v>1.6330000000000001E-2</v>
      </c>
      <c r="V21" s="14">
        <v>6.4079999999999998E-2</v>
      </c>
      <c r="W21" s="14">
        <v>7.0260000000000003E-2</v>
      </c>
      <c r="X21" s="14">
        <v>-4.0999999999999999E-4</v>
      </c>
      <c r="Y21" s="14">
        <v>5.0000000000000002E-5</v>
      </c>
      <c r="Z21" s="14">
        <v>-1.89E-3</v>
      </c>
      <c r="AA21" s="14">
        <v>4.47E-3</v>
      </c>
      <c r="AB21" s="14">
        <v>1.227E-2</v>
      </c>
      <c r="AC21" s="14">
        <v>4.4040000000000003E-2</v>
      </c>
      <c r="AD21" s="14">
        <v>4.3499999999999997E-3</v>
      </c>
    </row>
    <row r="22" spans="1:30">
      <c r="A22" s="14">
        <v>4.4712992334585066E-3</v>
      </c>
      <c r="C22" s="14" t="s">
        <v>164</v>
      </c>
      <c r="D22" s="14">
        <v>-7.8619999999999995E-2</v>
      </c>
      <c r="E22" s="14">
        <v>-0.10306</v>
      </c>
      <c r="F22" s="14">
        <v>4.7320000000000001E-2</v>
      </c>
      <c r="G22" s="14">
        <v>4.2810000000000001E-2</v>
      </c>
      <c r="H22" s="14">
        <v>2.5329999999999998E-2</v>
      </c>
      <c r="I22" s="14">
        <v>1.5779999999999999E-2</v>
      </c>
      <c r="J22" s="14">
        <v>0.10395</v>
      </c>
      <c r="K22" s="14">
        <v>7.2419999999999998E-2</v>
      </c>
      <c r="L22" s="14">
        <v>7.8280000000000002E-2</v>
      </c>
      <c r="M22" s="14">
        <v>7.5069999999999998E-2</v>
      </c>
      <c r="N22" s="14">
        <v>5.858E-2</v>
      </c>
      <c r="O22" s="14">
        <v>5.1310000000000001E-2</v>
      </c>
      <c r="P22" s="14">
        <v>5.824E-2</v>
      </c>
      <c r="Q22" s="14">
        <v>3.1220000000000001E-2</v>
      </c>
      <c r="R22" s="14">
        <v>4.7260000000000003E-2</v>
      </c>
      <c r="S22" s="14">
        <v>3.909E-2</v>
      </c>
      <c r="T22" s="14">
        <v>2.266E-2</v>
      </c>
      <c r="U22" s="14">
        <v>3.1600000000000003E-2</v>
      </c>
      <c r="V22" s="14">
        <v>6.216E-2</v>
      </c>
      <c r="W22" s="14">
        <v>8.3290000000000003E-2</v>
      </c>
      <c r="X22" s="14">
        <v>1.1010000000000001E-2</v>
      </c>
      <c r="Y22" s="14">
        <v>1.2199999999999999E-3</v>
      </c>
      <c r="Z22" s="14">
        <v>1.73E-3</v>
      </c>
      <c r="AA22" s="14">
        <v>1.49E-3</v>
      </c>
      <c r="AB22" s="14">
        <v>6.6699999999999997E-3</v>
      </c>
      <c r="AC22" s="14">
        <v>1.58E-3</v>
      </c>
      <c r="AD22" s="14">
        <v>3.7010000000000001E-2</v>
      </c>
    </row>
    <row r="23" spans="1:30">
      <c r="A23" s="14">
        <v>2.8458980890835512E-3</v>
      </c>
      <c r="C23" s="14" t="s">
        <v>165</v>
      </c>
      <c r="D23" s="14">
        <v>-4.5469999999999997E-2</v>
      </c>
      <c r="E23" s="14">
        <v>-5.5259999999999997E-2</v>
      </c>
      <c r="F23" s="14">
        <v>-4.3709999999999999E-2</v>
      </c>
      <c r="G23" s="14">
        <v>-6.1039999999999997E-2</v>
      </c>
      <c r="H23" s="14">
        <v>5.9299999999999999E-2</v>
      </c>
      <c r="I23" s="14">
        <v>9.2609999999999998E-2</v>
      </c>
      <c r="J23" s="14">
        <v>0.10765</v>
      </c>
      <c r="K23" s="14">
        <v>5.5500000000000001E-2</v>
      </c>
      <c r="L23" s="14">
        <v>2.9420000000000002E-2</v>
      </c>
      <c r="M23" s="14">
        <v>5.5109999999999999E-2</v>
      </c>
      <c r="N23" s="14">
        <v>1.8929999999999999E-2</v>
      </c>
      <c r="O23" s="14">
        <v>4.1189999999999997E-2</v>
      </c>
      <c r="P23" s="14">
        <v>2.368E-2</v>
      </c>
      <c r="Q23" s="14">
        <v>3.8490000000000003E-2</v>
      </c>
      <c r="R23" s="14">
        <v>4.1149999999999999E-2</v>
      </c>
      <c r="S23" s="14">
        <v>3.1579999999999997E-2</v>
      </c>
      <c r="T23" s="14">
        <v>1.553E-2</v>
      </c>
      <c r="U23" s="14">
        <v>1.8360000000000001E-2</v>
      </c>
      <c r="V23" s="14">
        <v>4.9829999999999999E-2</v>
      </c>
      <c r="W23" s="14">
        <v>8.0110000000000001E-2</v>
      </c>
      <c r="X23" s="14">
        <v>2.0719999999999999E-2</v>
      </c>
      <c r="Y23" s="14">
        <v>1.5399999999999999E-3</v>
      </c>
      <c r="Z23" s="14">
        <v>2.0500000000000002E-3</v>
      </c>
      <c r="AA23" s="14">
        <v>-2.7999999999999998E-4</v>
      </c>
      <c r="AB23" s="14">
        <v>7.0800000000000004E-3</v>
      </c>
      <c r="AC23" s="14">
        <v>3.1109999999999999E-2</v>
      </c>
      <c r="AD23" s="14">
        <v>6.1100000000000002E-2</v>
      </c>
    </row>
    <row r="24" spans="1:30">
      <c r="A24" s="14">
        <v>3.4197051834678771E-3</v>
      </c>
      <c r="C24" s="14" t="s">
        <v>166</v>
      </c>
      <c r="D24" s="14">
        <v>-4.7E-2</v>
      </c>
      <c r="E24" s="14">
        <v>-0.12025</v>
      </c>
      <c r="F24" s="14">
        <v>-4.5960000000000001E-2</v>
      </c>
      <c r="G24" s="14">
        <v>1.397E-2</v>
      </c>
      <c r="H24" s="14">
        <v>0.13611000000000001</v>
      </c>
      <c r="I24" s="14">
        <v>3.015E-2</v>
      </c>
      <c r="J24" s="14">
        <v>6.9529999999999995E-2</v>
      </c>
      <c r="K24" s="14">
        <v>5.3940000000000002E-2</v>
      </c>
      <c r="L24" s="14">
        <v>4.0189999999999997E-2</v>
      </c>
      <c r="M24" s="14">
        <v>5.3150000000000003E-2</v>
      </c>
      <c r="N24" s="14">
        <v>3.4770000000000002E-2</v>
      </c>
      <c r="O24" s="14">
        <v>1.255E-2</v>
      </c>
      <c r="P24" s="14">
        <v>5.8130000000000001E-2</v>
      </c>
      <c r="Q24" s="14">
        <v>4.5539999999999997E-2</v>
      </c>
      <c r="R24" s="14">
        <v>4.6449999999999998E-2</v>
      </c>
      <c r="S24" s="14">
        <v>2.4549999999999999E-2</v>
      </c>
      <c r="T24" s="14">
        <v>2.027E-2</v>
      </c>
      <c r="U24" s="14">
        <v>2.4510000000000001E-2</v>
      </c>
      <c r="V24" s="14">
        <v>6.4530000000000004E-2</v>
      </c>
      <c r="W24" s="14">
        <v>3.5929999999999997E-2</v>
      </c>
      <c r="X24" s="14">
        <v>1.112E-2</v>
      </c>
      <c r="Y24" s="14">
        <v>5.1799999999999997E-3</v>
      </c>
      <c r="Z24" s="14">
        <v>2.82E-3</v>
      </c>
      <c r="AA24" s="14">
        <v>-1.2999999999999999E-4</v>
      </c>
      <c r="AB24" s="14">
        <v>1.745E-2</v>
      </c>
      <c r="AC24" s="14">
        <v>4.1509999999999998E-2</v>
      </c>
      <c r="AD24" s="14">
        <v>4.2180000000000002E-2</v>
      </c>
    </row>
    <row r="25" spans="1:30">
      <c r="A25" s="14">
        <v>3.1860176168032931E-3</v>
      </c>
      <c r="C25" s="14" t="s">
        <v>167</v>
      </c>
      <c r="D25" s="14">
        <v>-9.5119999999999996E-2</v>
      </c>
      <c r="E25" s="14">
        <v>-0.1421</v>
      </c>
      <c r="F25" s="14">
        <v>-0.10763</v>
      </c>
      <c r="G25" s="14">
        <v>5.9270000000000003E-2</v>
      </c>
      <c r="H25" s="14">
        <v>8.4580000000000002E-2</v>
      </c>
      <c r="I25" s="14">
        <v>0.24249999999999999</v>
      </c>
      <c r="J25" s="14">
        <v>7.0730000000000001E-2</v>
      </c>
      <c r="K25" s="14">
        <v>3.9800000000000002E-2</v>
      </c>
      <c r="L25" s="14">
        <v>5.491E-2</v>
      </c>
      <c r="M25" s="14">
        <v>8.4199999999999997E-2</v>
      </c>
      <c r="N25" s="14">
        <v>6.139E-2</v>
      </c>
      <c r="O25" s="14">
        <v>7.3999999999999996E-2</v>
      </c>
      <c r="P25" s="14">
        <v>6.0470000000000003E-2</v>
      </c>
      <c r="Q25" s="14">
        <v>9.8979999999999999E-2</v>
      </c>
      <c r="R25" s="14">
        <v>3.7679999999999998E-2</v>
      </c>
      <c r="S25" s="14">
        <v>7.9670000000000005E-2</v>
      </c>
      <c r="T25" s="14">
        <v>2.1409999999999998E-2</v>
      </c>
      <c r="U25" s="14">
        <v>1.5650000000000001E-2</v>
      </c>
      <c r="V25" s="14">
        <v>5.4799999999999996E-3</v>
      </c>
      <c r="W25" s="14">
        <v>4.351E-2</v>
      </c>
      <c r="X25" s="14">
        <v>1.272E-2</v>
      </c>
      <c r="Y25" s="14">
        <v>3.47E-3</v>
      </c>
      <c r="Z25" s="14">
        <v>4.9300000000000004E-3</v>
      </c>
      <c r="AA25" s="14">
        <v>6.0000000000000001E-3</v>
      </c>
      <c r="AB25" s="14">
        <v>2.4199999999999999E-2</v>
      </c>
      <c r="AC25" s="14">
        <v>3.8080000000000003E-2</v>
      </c>
      <c r="AD25" s="14">
        <v>1.9050000000000001E-2</v>
      </c>
    </row>
    <row r="26" spans="1:30">
      <c r="A26" s="14">
        <v>3.0691738334710007E-3</v>
      </c>
      <c r="C26" s="14" t="s">
        <v>168</v>
      </c>
      <c r="D26" s="14">
        <v>-0.10217</v>
      </c>
      <c r="E26" s="14">
        <v>-5.4730000000000001E-2</v>
      </c>
      <c r="F26" s="14">
        <v>0.16322999999999999</v>
      </c>
      <c r="G26" s="14">
        <v>-7.7090000000000006E-2</v>
      </c>
      <c r="H26" s="14">
        <v>-2.266E-2</v>
      </c>
      <c r="I26" s="14">
        <v>-1.6920000000000001E-2</v>
      </c>
      <c r="J26" s="14">
        <v>4.5699999999999998E-2</v>
      </c>
      <c r="K26" s="14">
        <v>5.1499999999999997E-2</v>
      </c>
      <c r="L26" s="14">
        <v>6.5769999999999995E-2</v>
      </c>
      <c r="M26" s="14">
        <v>1.2670000000000001E-2</v>
      </c>
      <c r="N26" s="14">
        <v>6.2149999999999997E-2</v>
      </c>
      <c r="O26" s="14">
        <v>6.7650000000000002E-2</v>
      </c>
      <c r="P26" s="14">
        <v>0.10352</v>
      </c>
      <c r="Q26" s="14">
        <v>4.1770000000000002E-2</v>
      </c>
      <c r="R26" s="14">
        <v>7.1900000000000006E-2</v>
      </c>
      <c r="S26" s="14">
        <v>6.0040000000000003E-2</v>
      </c>
      <c r="T26" s="14">
        <v>1.7219999999999999E-2</v>
      </c>
      <c r="U26" s="14">
        <v>4.3339999999999997E-2</v>
      </c>
      <c r="V26" s="14">
        <v>1.8190000000000001E-2</v>
      </c>
      <c r="W26" s="14">
        <v>9.4869999999999996E-2</v>
      </c>
      <c r="X26" s="14">
        <v>1.125E-2</v>
      </c>
      <c r="Y26" s="14">
        <v>8.3000000000000001E-4</v>
      </c>
      <c r="Z26" s="14">
        <v>1.89E-3</v>
      </c>
      <c r="AA26" s="14">
        <v>7.3999999999999999E-4</v>
      </c>
      <c r="AB26" s="14">
        <v>1.112E-2</v>
      </c>
      <c r="AC26" s="14">
        <v>4.7940000000000003E-2</v>
      </c>
      <c r="AD26" s="14">
        <v>6.1219999999999997E-2</v>
      </c>
    </row>
    <row r="27" spans="1:30">
      <c r="A27" s="14">
        <v>2.9164671067396881E-3</v>
      </c>
      <c r="C27" s="14" t="s">
        <v>169</v>
      </c>
      <c r="D27" s="14">
        <v>-2.826E-2</v>
      </c>
      <c r="E27" s="14">
        <v>3.2799999999999999E-3</v>
      </c>
      <c r="F27" s="14">
        <v>-7.8939999999999996E-2</v>
      </c>
      <c r="G27" s="14">
        <v>-2.0289999999999999E-2</v>
      </c>
      <c r="H27" s="14">
        <v>3.4979999999999997E-2</v>
      </c>
      <c r="I27" s="14">
        <v>5.8119999999999998E-2</v>
      </c>
      <c r="J27" s="14">
        <v>2.1180000000000001E-2</v>
      </c>
      <c r="K27" s="14">
        <v>6.454E-2</v>
      </c>
      <c r="L27" s="14">
        <v>2.3449999999999999E-2</v>
      </c>
      <c r="M27" s="14">
        <v>6.9389999999999993E-2</v>
      </c>
      <c r="N27" s="14">
        <v>4.7370000000000002E-2</v>
      </c>
      <c r="O27" s="14">
        <v>1.66E-2</v>
      </c>
      <c r="P27" s="14">
        <v>3.7940000000000002E-2</v>
      </c>
      <c r="Q27" s="14">
        <v>-8.3700000000000007E-3</v>
      </c>
      <c r="R27" s="14">
        <v>1.2279999999999999E-2</v>
      </c>
      <c r="S27" s="14">
        <v>2.9499999999999999E-3</v>
      </c>
      <c r="T27" s="14">
        <v>8.6599999999999993E-3</v>
      </c>
      <c r="U27" s="14">
        <v>8.1700000000000002E-3</v>
      </c>
      <c r="V27" s="14">
        <v>1.7829999999999999E-2</v>
      </c>
      <c r="W27" s="14">
        <v>2.5989999999999999E-2</v>
      </c>
      <c r="X27" s="14">
        <v>6.5199999999999998E-3</v>
      </c>
      <c r="Y27" s="14">
        <v>8.5999999999999998E-4</v>
      </c>
      <c r="Z27" s="14">
        <v>5.5599999999999998E-3</v>
      </c>
      <c r="AA27" s="14">
        <v>1.1199999999999999E-3</v>
      </c>
      <c r="AB27" s="14">
        <v>2.9000000000000001E-2</v>
      </c>
      <c r="AC27" s="14">
        <v>3.211E-2</v>
      </c>
      <c r="AD27" s="14">
        <v>5.1679999999999997E-2</v>
      </c>
    </row>
    <row r="28" spans="1:30">
      <c r="A28" s="14">
        <v>2.6850932783589118E-3</v>
      </c>
      <c r="C28" s="14" t="s">
        <v>170</v>
      </c>
      <c r="D28" s="14">
        <v>-2.8400000000000001E-3</v>
      </c>
      <c r="E28" s="14">
        <v>-5.1790000000000003E-2</v>
      </c>
      <c r="F28" s="14">
        <v>-0.1938</v>
      </c>
      <c r="G28" s="14">
        <v>3.0419999999999999E-2</v>
      </c>
      <c r="H28" s="14">
        <v>2.18E-2</v>
      </c>
      <c r="I28" s="14">
        <v>3.7229999999999999E-2</v>
      </c>
      <c r="J28" s="14">
        <v>1.345E-2</v>
      </c>
      <c r="K28" s="14">
        <v>5.9339999999999997E-2</v>
      </c>
      <c r="L28" s="14">
        <v>6.9989999999999997E-2</v>
      </c>
      <c r="M28" s="14">
        <v>4.4179999999999997E-2</v>
      </c>
      <c r="N28" s="14">
        <v>6.8640000000000007E-2</v>
      </c>
      <c r="O28" s="14">
        <v>4.5719999999999997E-2</v>
      </c>
      <c r="P28" s="14">
        <v>3.483E-2</v>
      </c>
      <c r="Q28" s="14">
        <v>4.512E-2</v>
      </c>
      <c r="R28" s="14">
        <v>5.645E-2</v>
      </c>
      <c r="S28" s="14">
        <v>2.6790000000000001E-2</v>
      </c>
      <c r="T28" s="14">
        <v>1.093E-2</v>
      </c>
      <c r="U28" s="14">
        <v>1.498E-2</v>
      </c>
      <c r="V28" s="14">
        <v>4.9250000000000002E-2</v>
      </c>
      <c r="W28" s="14">
        <v>3.9849999999999997E-2</v>
      </c>
      <c r="X28" s="14">
        <v>2.2759999999999999E-2</v>
      </c>
      <c r="Y28" s="14">
        <v>-1.0200000000000001E-3</v>
      </c>
      <c r="Z28" s="14">
        <v>1.6000000000000001E-4</v>
      </c>
      <c r="AA28" s="14">
        <v>-2.0100000000000001E-3</v>
      </c>
      <c r="AB28" s="14">
        <v>-6.2E-4</v>
      </c>
      <c r="AC28" s="14">
        <v>2.8060000000000002E-2</v>
      </c>
      <c r="AD28" s="14">
        <v>7.1999999999999998E-3</v>
      </c>
    </row>
    <row r="29" spans="1:30">
      <c r="A29" s="14">
        <v>2.2986989849630149E-3</v>
      </c>
      <c r="C29" s="14" t="s">
        <v>171</v>
      </c>
      <c r="D29" s="14">
        <v>0.14992</v>
      </c>
      <c r="E29" s="14">
        <v>-0.20701</v>
      </c>
      <c r="F29" s="14">
        <v>-4.9450000000000001E-2</v>
      </c>
      <c r="G29" s="14">
        <v>-9.8659999999999998E-2</v>
      </c>
      <c r="H29" s="14">
        <v>-0.10668999999999999</v>
      </c>
      <c r="I29" s="14">
        <v>-2.5059999999999999E-2</v>
      </c>
      <c r="J29" s="14">
        <v>0.14924999999999999</v>
      </c>
      <c r="K29" s="14">
        <v>0.10768999999999999</v>
      </c>
      <c r="L29" s="14">
        <v>0.13159000000000001</v>
      </c>
      <c r="M29" s="14">
        <v>2.845E-2</v>
      </c>
      <c r="N29" s="14">
        <v>8.0100000000000005E-2</v>
      </c>
      <c r="O29" s="14">
        <v>2.3290000000000002E-2</v>
      </c>
      <c r="P29" s="14">
        <v>3.6679999999999997E-2</v>
      </c>
      <c r="Q29" s="14">
        <v>3.4509999999999999E-2</v>
      </c>
      <c r="R29" s="14">
        <v>2.9350000000000001E-2</v>
      </c>
      <c r="S29" s="14">
        <v>3.5130000000000002E-2</v>
      </c>
      <c r="T29" s="14">
        <v>3.7499999999999999E-3</v>
      </c>
      <c r="U29" s="14">
        <v>3.0020000000000002E-2</v>
      </c>
      <c r="V29" s="14">
        <v>7.8170000000000003E-2</v>
      </c>
      <c r="W29" s="14">
        <v>4.1099999999999998E-2</v>
      </c>
      <c r="X29" s="14">
        <v>1.7010000000000001E-2</v>
      </c>
      <c r="Y29" s="14">
        <v>2.7999999999999998E-4</v>
      </c>
      <c r="Z29" s="14">
        <v>4.4600000000000004E-3</v>
      </c>
      <c r="AA29" s="14">
        <v>2.0699999999999998E-3</v>
      </c>
      <c r="AB29" s="14">
        <v>3.6470000000000002E-2</v>
      </c>
      <c r="AC29" s="14">
        <v>5.7070000000000003E-2</v>
      </c>
      <c r="AD29" s="14">
        <v>4.4740000000000002E-2</v>
      </c>
    </row>
    <row r="30" spans="1:30">
      <c r="A30" s="14">
        <v>1.3597839893938236E-2</v>
      </c>
      <c r="C30" s="14" t="s">
        <v>172</v>
      </c>
      <c r="D30" s="14">
        <v>-0.15806999999999999</v>
      </c>
      <c r="E30" s="14">
        <v>-0.22428999999999999</v>
      </c>
      <c r="F30" s="14">
        <v>-0.30520999999999998</v>
      </c>
      <c r="G30" s="14">
        <v>-0.14233000000000001</v>
      </c>
      <c r="H30" s="14">
        <v>3.2280000000000003E-2</v>
      </c>
      <c r="I30" s="14">
        <v>0.12175999999999999</v>
      </c>
      <c r="J30" s="14">
        <v>0.16169</v>
      </c>
      <c r="K30" s="14">
        <v>0.14229</v>
      </c>
      <c r="L30" s="14">
        <v>0.11271</v>
      </c>
      <c r="M30" s="14">
        <v>0.11662</v>
      </c>
      <c r="N30" s="14">
        <v>7.6689999999999994E-2</v>
      </c>
      <c r="O30" s="14">
        <v>6.608E-2</v>
      </c>
      <c r="P30" s="14">
        <v>6.583E-2</v>
      </c>
      <c r="Q30" s="14">
        <v>5.6000000000000001E-2</v>
      </c>
      <c r="R30" s="14">
        <v>5.2510000000000001E-2</v>
      </c>
      <c r="S30" s="14">
        <v>5.518E-2</v>
      </c>
      <c r="T30" s="14">
        <v>1.9539999999999998E-2</v>
      </c>
      <c r="U30" s="14">
        <v>2.8000000000000001E-2</v>
      </c>
      <c r="V30" s="14">
        <v>4.8570000000000002E-2</v>
      </c>
      <c r="W30" s="14">
        <v>7.3770000000000002E-2</v>
      </c>
      <c r="X30" s="14">
        <v>2.0750000000000001E-2</v>
      </c>
      <c r="Y30" s="14">
        <v>1.9400000000000001E-3</v>
      </c>
      <c r="Z30" s="14">
        <v>4.9399999999999999E-3</v>
      </c>
      <c r="AA30" s="14">
        <v>3.65E-3</v>
      </c>
      <c r="AB30" s="14">
        <v>2.7300000000000001E-2</v>
      </c>
      <c r="AC30" s="14">
        <v>6.5100000000000005E-2</v>
      </c>
      <c r="AD30" s="14">
        <v>0.41310000000000002</v>
      </c>
    </row>
    <row r="31" spans="1:30">
      <c r="C31" s="14" t="s">
        <v>173</v>
      </c>
      <c r="D31" s="14">
        <v>-9.0590000000000004E-2</v>
      </c>
      <c r="E31" s="14">
        <v>-0.11026</v>
      </c>
      <c r="F31" s="14">
        <v>-0.12429999999999999</v>
      </c>
      <c r="G31" s="14">
        <v>-5.7180000000000002E-2</v>
      </c>
      <c r="H31" s="14">
        <v>-8.8299999999999993E-3</v>
      </c>
      <c r="I31" s="14">
        <v>3.44E-2</v>
      </c>
      <c r="J31" s="14">
        <v>5.1470000000000002E-2</v>
      </c>
      <c r="K31" s="14">
        <v>5.0709999999999998E-2</v>
      </c>
      <c r="L31" s="14">
        <v>3.3840000000000002E-2</v>
      </c>
      <c r="M31" s="14">
        <v>2.9270000000000001E-2</v>
      </c>
      <c r="N31" s="14">
        <v>2.342E-2</v>
      </c>
      <c r="O31" s="14">
        <v>1.8270000000000002E-2</v>
      </c>
      <c r="P31" s="14">
        <v>1.5310000000000001E-2</v>
      </c>
      <c r="Q31" s="14">
        <v>1.065E-2</v>
      </c>
      <c r="R31" s="14">
        <v>9.6799999999999994E-3</v>
      </c>
      <c r="S31" s="14">
        <v>5.8999999999999999E-3</v>
      </c>
      <c r="T31" s="14">
        <v>2.3600000000000001E-3</v>
      </c>
      <c r="U31" s="14">
        <v>4.4400000000000004E-3</v>
      </c>
      <c r="V31" s="14">
        <v>8.3599999999999994E-3</v>
      </c>
      <c r="W31" s="14">
        <v>8.5500000000000003E-3</v>
      </c>
      <c r="X31" s="14">
        <v>3.2299999999999998E-3</v>
      </c>
      <c r="Y31" s="14">
        <v>-6.0000000000000002E-5</v>
      </c>
      <c r="Z31" s="14">
        <v>1.7000000000000001E-4</v>
      </c>
      <c r="AA31" s="14">
        <v>9.0000000000000006E-5</v>
      </c>
      <c r="AB31" s="14">
        <v>2.1900000000000001E-3</v>
      </c>
      <c r="AC31" s="14">
        <v>6.4200000000000004E-3</v>
      </c>
      <c r="AD31" s="14">
        <v>3.7400000000000003E-2</v>
      </c>
    </row>
    <row r="32" spans="1:30">
      <c r="A32" s="14" t="s">
        <v>191</v>
      </c>
    </row>
    <row r="33" spans="1:32">
      <c r="A33" s="15">
        <f>'Significant Decline in Use'!D30</f>
        <v>-0.15</v>
      </c>
      <c r="C33" s="14" t="s">
        <v>185</v>
      </c>
      <c r="D33" s="14">
        <f>MAX(0,SUMPRODUCT($A$4:$A$30,D$4:D$30)+D$31*$A33)</f>
        <v>6.7988662898743876E-2</v>
      </c>
      <c r="E33" s="14">
        <f t="shared" ref="E33:AD33" si="0">MAX(0,SUMPRODUCT($A$4:$A$30,E$4:E$30)+E$31*$A33)</f>
        <v>0.12075078243456171</v>
      </c>
      <c r="F33" s="14">
        <f t="shared" si="0"/>
        <v>0.16958182283243217</v>
      </c>
      <c r="G33" s="14">
        <f t="shared" si="0"/>
        <v>0.16350211390533567</v>
      </c>
      <c r="H33" s="14">
        <f t="shared" si="0"/>
        <v>0.13432692506380134</v>
      </c>
      <c r="I33" s="14">
        <f t="shared" si="0"/>
        <v>9.9877559989449347E-2</v>
      </c>
      <c r="J33" s="14">
        <f t="shared" si="0"/>
        <v>6.9408331134125062E-2</v>
      </c>
      <c r="K33" s="14">
        <f t="shared" si="0"/>
        <v>4.5470504079120587E-2</v>
      </c>
      <c r="L33" s="14">
        <f t="shared" si="0"/>
        <v>2.9991160476259892E-2</v>
      </c>
      <c r="M33" s="14">
        <f t="shared" si="0"/>
        <v>2.089386087607386E-2</v>
      </c>
      <c r="N33" s="14">
        <f t="shared" si="0"/>
        <v>1.4802679730033016E-2</v>
      </c>
      <c r="O33" s="14">
        <f t="shared" si="0"/>
        <v>1.0139218128833576E-2</v>
      </c>
      <c r="P33" s="14">
        <f t="shared" si="0"/>
        <v>7.9566116540683626E-3</v>
      </c>
      <c r="Q33" s="14">
        <f t="shared" si="0"/>
        <v>5.3424502893329728E-3</v>
      </c>
      <c r="R33" s="14">
        <f t="shared" si="0"/>
        <v>5.2405976918146885E-3</v>
      </c>
      <c r="S33" s="14">
        <f t="shared" si="0"/>
        <v>4.1276142466121091E-3</v>
      </c>
      <c r="T33" s="14">
        <f t="shared" si="0"/>
        <v>2.2332493238099859E-3</v>
      </c>
      <c r="U33" s="14">
        <f t="shared" si="0"/>
        <v>2.6295521620727401E-3</v>
      </c>
      <c r="V33" s="14">
        <f t="shared" si="0"/>
        <v>2.5575663429746815E-3</v>
      </c>
      <c r="W33" s="14">
        <f t="shared" si="0"/>
        <v>2.8833019416891681E-3</v>
      </c>
      <c r="X33" s="14">
        <f t="shared" si="0"/>
        <v>1.4134900092780903E-3</v>
      </c>
      <c r="Y33" s="14">
        <f t="shared" si="0"/>
        <v>1.0019801296156186E-3</v>
      </c>
      <c r="Z33" s="14">
        <f t="shared" si="0"/>
        <v>1.0133922862279356E-3</v>
      </c>
      <c r="AA33" s="14">
        <f t="shared" si="0"/>
        <v>1.0012750815014309E-3</v>
      </c>
      <c r="AB33" s="14">
        <f t="shared" si="0"/>
        <v>1.1709105288974346E-3</v>
      </c>
      <c r="AC33" s="14">
        <f t="shared" si="0"/>
        <v>1.5253240552428153E-3</v>
      </c>
      <c r="AD33" s="14">
        <f t="shared" si="0"/>
        <v>8.2225722291248762E-3</v>
      </c>
    </row>
    <row r="35" spans="1:32">
      <c r="C35" s="14" t="s">
        <v>182</v>
      </c>
      <c r="D35" s="14">
        <f>SUM(D33:AD33)</f>
        <v>0.99505350952103289</v>
      </c>
    </row>
    <row r="36" spans="1:32">
      <c r="C36" s="14" t="s">
        <v>183</v>
      </c>
      <c r="D36" s="14">
        <f>1-D35</f>
        <v>4.9464904789671138E-3</v>
      </c>
    </row>
    <row r="37" spans="1:32">
      <c r="C37" s="14" t="s">
        <v>184</v>
      </c>
      <c r="D37" s="14">
        <f>D36/COUNTIF(D33:AD33,"&gt;0")</f>
        <v>1.8320335107285606E-4</v>
      </c>
    </row>
    <row r="39" spans="1:32">
      <c r="C39" s="14" t="s">
        <v>179</v>
      </c>
      <c r="D39" s="14">
        <f>MAX(0,D33+$D37)</f>
        <v>6.8171866249816734E-2</v>
      </c>
      <c r="E39" s="14">
        <f t="shared" ref="E39:AD39" si="1">MAX(0,E33+$D37)</f>
        <v>0.12093398578563457</v>
      </c>
      <c r="F39" s="14">
        <f t="shared" si="1"/>
        <v>0.16976502618350503</v>
      </c>
      <c r="G39" s="14">
        <f t="shared" si="1"/>
        <v>0.16368531725640853</v>
      </c>
      <c r="H39" s="14">
        <f t="shared" si="1"/>
        <v>0.1345101284148742</v>
      </c>
      <c r="I39" s="14">
        <f t="shared" si="1"/>
        <v>0.1000607633405222</v>
      </c>
      <c r="J39" s="14">
        <f t="shared" si="1"/>
        <v>6.959153448519792E-2</v>
      </c>
      <c r="K39" s="14">
        <f t="shared" si="1"/>
        <v>4.5653707430193445E-2</v>
      </c>
      <c r="L39" s="14">
        <f t="shared" si="1"/>
        <v>3.0174363827332747E-2</v>
      </c>
      <c r="M39" s="14">
        <f t="shared" si="1"/>
        <v>2.1077064227146714E-2</v>
      </c>
      <c r="N39" s="14">
        <f t="shared" si="1"/>
        <v>1.4985883081105872E-2</v>
      </c>
      <c r="O39" s="14">
        <f t="shared" si="1"/>
        <v>1.0322421479906432E-2</v>
      </c>
      <c r="P39" s="14">
        <f t="shared" si="1"/>
        <v>8.1398150051412189E-3</v>
      </c>
      <c r="Q39" s="14">
        <f t="shared" si="1"/>
        <v>5.5256536404058292E-3</v>
      </c>
      <c r="R39" s="14">
        <f t="shared" si="1"/>
        <v>5.4238010428875449E-3</v>
      </c>
      <c r="S39" s="14">
        <f t="shared" si="1"/>
        <v>4.3108175976849655E-3</v>
      </c>
      <c r="T39" s="14">
        <f t="shared" si="1"/>
        <v>2.4164526748828418E-3</v>
      </c>
      <c r="U39" s="14">
        <f t="shared" si="1"/>
        <v>2.812755513145596E-3</v>
      </c>
      <c r="V39" s="14">
        <f t="shared" si="1"/>
        <v>2.7407696940475374E-3</v>
      </c>
      <c r="W39" s="14">
        <f t="shared" si="1"/>
        <v>3.066505292762024E-3</v>
      </c>
      <c r="X39" s="14">
        <f t="shared" si="1"/>
        <v>1.5966933603509463E-3</v>
      </c>
      <c r="Y39" s="14">
        <f t="shared" si="1"/>
        <v>1.1851834806884745E-3</v>
      </c>
      <c r="Z39" s="14">
        <f t="shared" si="1"/>
        <v>1.1965956373007915E-3</v>
      </c>
      <c r="AA39" s="14">
        <f t="shared" si="1"/>
        <v>1.1844784325742868E-3</v>
      </c>
      <c r="AB39" s="14">
        <f t="shared" si="1"/>
        <v>1.3541138799702907E-3</v>
      </c>
      <c r="AC39" s="14">
        <f t="shared" si="1"/>
        <v>1.7085274063156713E-3</v>
      </c>
      <c r="AD39" s="14">
        <f t="shared" si="1"/>
        <v>8.4057755801977326E-3</v>
      </c>
    </row>
    <row r="41" spans="1:32">
      <c r="A41" s="14" t="s">
        <v>192</v>
      </c>
    </row>
    <row r="43" spans="1:32">
      <c r="A43" s="15">
        <f>'Significant Decline in Use'!K32</f>
        <v>-9.9999999999999992E-2</v>
      </c>
      <c r="C43" s="14" t="s">
        <v>185</v>
      </c>
      <c r="D43" s="14">
        <f>MAX(0,SUMPRODUCT($A$4:$A$30,D$4:D$30)+D$31*$A43)</f>
        <v>6.3459162898743884E-2</v>
      </c>
      <c r="E43" s="14">
        <f t="shared" ref="E43:AD43" si="2">MAX(0,SUMPRODUCT($A$4:$A$30,E$4:E$30)+E$31*$A43)</f>
        <v>0.1152377824345617</v>
      </c>
      <c r="F43" s="14">
        <f t="shared" si="2"/>
        <v>0.16336682283243217</v>
      </c>
      <c r="G43" s="14">
        <f t="shared" si="2"/>
        <v>0.16064311390533567</v>
      </c>
      <c r="H43" s="14">
        <f t="shared" si="2"/>
        <v>0.13388542506380133</v>
      </c>
      <c r="I43" s="14">
        <f t="shared" si="2"/>
        <v>0.10159755998944935</v>
      </c>
      <c r="J43" s="14">
        <f t="shared" si="2"/>
        <v>7.1981831134125068E-2</v>
      </c>
      <c r="K43" s="14">
        <f t="shared" si="2"/>
        <v>4.800600407912059E-2</v>
      </c>
      <c r="L43" s="14">
        <f t="shared" si="2"/>
        <v>3.1683160476259895E-2</v>
      </c>
      <c r="M43" s="14">
        <f t="shared" si="2"/>
        <v>2.2357360876073859E-2</v>
      </c>
      <c r="N43" s="14">
        <f t="shared" si="2"/>
        <v>1.5973679730033014E-2</v>
      </c>
      <c r="O43" s="14">
        <f t="shared" si="2"/>
        <v>1.1052718128833575E-2</v>
      </c>
      <c r="P43" s="14">
        <f t="shared" si="2"/>
        <v>8.7221116540683631E-3</v>
      </c>
      <c r="Q43" s="14">
        <f t="shared" si="2"/>
        <v>5.8749502893329728E-3</v>
      </c>
      <c r="R43" s="14">
        <f t="shared" si="2"/>
        <v>5.7245976918146885E-3</v>
      </c>
      <c r="S43" s="14">
        <f t="shared" si="2"/>
        <v>4.4226142466121084E-3</v>
      </c>
      <c r="T43" s="14">
        <f t="shared" si="2"/>
        <v>2.3512493238099859E-3</v>
      </c>
      <c r="U43" s="14">
        <f t="shared" si="2"/>
        <v>2.85155216207274E-3</v>
      </c>
      <c r="V43" s="14">
        <f t="shared" si="2"/>
        <v>2.9755663429746814E-3</v>
      </c>
      <c r="W43" s="14">
        <f t="shared" si="2"/>
        <v>3.310801941689168E-3</v>
      </c>
      <c r="X43" s="14">
        <f t="shared" si="2"/>
        <v>1.5749900092780903E-3</v>
      </c>
      <c r="Y43" s="14">
        <f t="shared" si="2"/>
        <v>9.9898012961561859E-4</v>
      </c>
      <c r="Z43" s="14">
        <f t="shared" si="2"/>
        <v>1.0218922862279354E-3</v>
      </c>
      <c r="AA43" s="14">
        <f t="shared" si="2"/>
        <v>1.005775081501431E-3</v>
      </c>
      <c r="AB43" s="14">
        <f t="shared" si="2"/>
        <v>1.2804105288974346E-3</v>
      </c>
      <c r="AC43" s="14">
        <f t="shared" si="2"/>
        <v>1.8463240552428152E-3</v>
      </c>
      <c r="AD43" s="14">
        <f t="shared" si="2"/>
        <v>1.0092572229124876E-2</v>
      </c>
    </row>
    <row r="45" spans="1:32">
      <c r="C45" s="14" t="s">
        <v>182</v>
      </c>
      <c r="D45" s="14">
        <f>SUM(D43:AD43)</f>
        <v>0.99329900952103289</v>
      </c>
    </row>
    <row r="46" spans="1:32">
      <c r="C46" s="14" t="s">
        <v>183</v>
      </c>
      <c r="D46" s="14">
        <f>1-D45</f>
        <v>6.700990478967106E-3</v>
      </c>
    </row>
    <row r="47" spans="1:32">
      <c r="C47" s="14" t="s">
        <v>184</v>
      </c>
      <c r="D47" s="14">
        <f>D46/COUNTIF(D43:AD43,"&gt;0")</f>
        <v>2.4818483255433725E-4</v>
      </c>
    </row>
    <row r="48" spans="1:32">
      <c r="AF48" s="14" t="s">
        <v>188</v>
      </c>
    </row>
    <row r="49" spans="1:32">
      <c r="C49" s="14" t="s">
        <v>179</v>
      </c>
      <c r="D49" s="14">
        <f>MAX(0,D43+$D47)</f>
        <v>6.3707347731298228E-2</v>
      </c>
      <c r="E49" s="14">
        <f t="shared" ref="E49:AD49" si="3">MAX(0,E43+$D47)</f>
        <v>0.11548596726711605</v>
      </c>
      <c r="F49" s="14">
        <f t="shared" si="3"/>
        <v>0.16361500766498652</v>
      </c>
      <c r="G49" s="14">
        <f t="shared" si="3"/>
        <v>0.16089129873789002</v>
      </c>
      <c r="H49" s="14">
        <f t="shared" si="3"/>
        <v>0.13413360989635567</v>
      </c>
      <c r="I49" s="14">
        <f t="shared" si="3"/>
        <v>0.10184574482200369</v>
      </c>
      <c r="J49" s="14">
        <f t="shared" si="3"/>
        <v>7.2230015966679412E-2</v>
      </c>
      <c r="K49" s="14">
        <f t="shared" si="3"/>
        <v>4.8254188911674926E-2</v>
      </c>
      <c r="L49" s="14">
        <f t="shared" si="3"/>
        <v>3.1931345308814231E-2</v>
      </c>
      <c r="M49" s="14">
        <f t="shared" si="3"/>
        <v>2.2605545708628196E-2</v>
      </c>
      <c r="N49" s="14">
        <f t="shared" si="3"/>
        <v>1.6221864562587351E-2</v>
      </c>
      <c r="O49" s="14">
        <f t="shared" si="3"/>
        <v>1.1300902961387912E-2</v>
      </c>
      <c r="P49" s="14">
        <f t="shared" si="3"/>
        <v>8.9702964866226996E-3</v>
      </c>
      <c r="Q49" s="14">
        <f t="shared" si="3"/>
        <v>6.1231351218873102E-3</v>
      </c>
      <c r="R49" s="14">
        <f t="shared" si="3"/>
        <v>5.9727825243690259E-3</v>
      </c>
      <c r="S49" s="14">
        <f t="shared" si="3"/>
        <v>4.6707990791664458E-3</v>
      </c>
      <c r="T49" s="14">
        <f t="shared" si="3"/>
        <v>2.5994341563643233E-3</v>
      </c>
      <c r="U49" s="14">
        <f t="shared" si="3"/>
        <v>3.0997369946270774E-3</v>
      </c>
      <c r="V49" s="14">
        <f t="shared" si="3"/>
        <v>3.2237511755290188E-3</v>
      </c>
      <c r="W49" s="14">
        <f t="shared" si="3"/>
        <v>3.5589867742435053E-3</v>
      </c>
      <c r="X49" s="14">
        <f t="shared" si="3"/>
        <v>1.8231748418324274E-3</v>
      </c>
      <c r="Y49" s="14">
        <f t="shared" si="3"/>
        <v>1.2471649621699559E-3</v>
      </c>
      <c r="Z49" s="14">
        <f t="shared" si="3"/>
        <v>1.2700771187822727E-3</v>
      </c>
      <c r="AA49" s="14">
        <f t="shared" si="3"/>
        <v>1.2539599140557684E-3</v>
      </c>
      <c r="AB49" s="14">
        <f t="shared" si="3"/>
        <v>1.5285953614517719E-3</v>
      </c>
      <c r="AC49" s="14">
        <f t="shared" si="3"/>
        <v>2.0945088877971523E-3</v>
      </c>
      <c r="AD49" s="14">
        <f t="shared" si="3"/>
        <v>1.0340757061679213E-2</v>
      </c>
      <c r="AF49" s="16">
        <f>'Significant Decline in Use'!$AE$13-('Significant Decline in Use'!$AE$13*-'pred conserv percent - REFEREN'!A43)</f>
        <v>24750</v>
      </c>
    </row>
    <row r="50" spans="1:32">
      <c r="C50" s="14" t="s">
        <v>187</v>
      </c>
      <c r="D50" s="14">
        <f>ROUND(D49*SUM('Significant Decline in Use'!$C$13:$AC$13),0)</f>
        <v>55069</v>
      </c>
      <c r="E50" s="14">
        <f>ROUND(E49*SUM('Significant Decline in Use'!$C$13:$AC$13),0)</f>
        <v>99826</v>
      </c>
      <c r="F50" s="14">
        <f>ROUND(F49*SUM('Significant Decline in Use'!$C$13:$AC$13),0)</f>
        <v>141429</v>
      </c>
      <c r="G50" s="14">
        <f>ROUND(G49*SUM('Significant Decline in Use'!$C$13:$AC$13),0)</f>
        <v>139075</v>
      </c>
      <c r="H50" s="14">
        <f>ROUND(H49*SUM('Significant Decline in Use'!$C$13:$AC$13),0)</f>
        <v>115945</v>
      </c>
      <c r="I50" s="14">
        <f>ROUND(I49*SUM('Significant Decline in Use'!$C$13:$AC$13),0)</f>
        <v>88036</v>
      </c>
      <c r="J50" s="14">
        <f>ROUND(J49*SUM('Significant Decline in Use'!$C$13:$AC$13),0)</f>
        <v>62436</v>
      </c>
      <c r="K50" s="14">
        <f>ROUND(K49*SUM('Significant Decline in Use'!$C$13:$AC$13),0)</f>
        <v>41711</v>
      </c>
      <c r="L50" s="14">
        <f>ROUND(L49*SUM('Significant Decline in Use'!$C$13:$AC$13),0)</f>
        <v>27602</v>
      </c>
      <c r="M50" s="14">
        <f>ROUND(M49*SUM('Significant Decline in Use'!$C$13:$AC$13),0)</f>
        <v>19540</v>
      </c>
      <c r="N50" s="14">
        <f>ROUND(N49*SUM('Significant Decline in Use'!$C$13:$AC$13),0)</f>
        <v>14022</v>
      </c>
      <c r="O50" s="14">
        <f>ROUND(O49*SUM('Significant Decline in Use'!$C$13:$AC$13),0)</f>
        <v>9769</v>
      </c>
      <c r="P50" s="14">
        <f>ROUND(P49*SUM('Significant Decline in Use'!$C$13:$AC$13),0)</f>
        <v>7754</v>
      </c>
      <c r="Q50" s="14">
        <f>ROUND(Q49*SUM('Significant Decline in Use'!$C$13:$AC$13),0)</f>
        <v>5293</v>
      </c>
      <c r="R50" s="14">
        <f>ROUND(R49*SUM('Significant Decline in Use'!$C$13:$AC$13),0)</f>
        <v>5163</v>
      </c>
      <c r="S50" s="14">
        <f>ROUND(S49*SUM('Significant Decline in Use'!$C$13:$AC$13),0)</f>
        <v>4037</v>
      </c>
      <c r="T50" s="14">
        <f>ROUND(T49*SUM('Significant Decline in Use'!$C$13:$AC$13),0)</f>
        <v>2247</v>
      </c>
      <c r="U50" s="14">
        <f>ROUND(U49*SUM('Significant Decline in Use'!$C$13:$AC$13),0)</f>
        <v>2679</v>
      </c>
      <c r="V50" s="14">
        <f>ROUND(V49*SUM('Significant Decline in Use'!$C$13:$AC$13),0)</f>
        <v>2787</v>
      </c>
      <c r="W50" s="14">
        <f>ROUND(W49*SUM('Significant Decline in Use'!$C$13:$AC$13),0)</f>
        <v>3076</v>
      </c>
      <c r="X50" s="14">
        <f>ROUND(X49*SUM('Significant Decline in Use'!$C$13:$AC$13),0)</f>
        <v>1576</v>
      </c>
      <c r="Y50" s="14">
        <f>ROUND(Y49*SUM('Significant Decline in Use'!$C$13:$AC$13),0)</f>
        <v>1078</v>
      </c>
      <c r="Z50" s="14">
        <f>ROUND(Z49*SUM('Significant Decline in Use'!$C$13:$AC$13),0)</f>
        <v>1098</v>
      </c>
      <c r="AA50" s="14">
        <f>ROUND(AA49*SUM('Significant Decline in Use'!$C$13:$AC$13),0)</f>
        <v>1084</v>
      </c>
      <c r="AB50" s="14">
        <f>ROUND(AB49*SUM('Significant Decline in Use'!$C$13:$AC$13),0)</f>
        <v>1321</v>
      </c>
      <c r="AC50" s="14">
        <f>ROUND(AC49*SUM('Significant Decline in Use'!$C$13:$AC$13),0)</f>
        <v>1810</v>
      </c>
      <c r="AD50" s="17">
        <f>SUM('Significant Decline in Use'!$C$13:$AC$13)-SUM('pred conserv percent - REFEREN'!D50:AC50)</f>
        <v>8939</v>
      </c>
      <c r="AF50" s="18">
        <f>'Input REFERENCE Rates'!S52</f>
        <v>69.375</v>
      </c>
    </row>
    <row r="51" spans="1:32">
      <c r="C51" s="14" t="s">
        <v>193</v>
      </c>
      <c r="D51" s="19">
        <f>D50*'Revenues from REFERENCE Rates'!C35</f>
        <v>275345</v>
      </c>
      <c r="E51" s="19">
        <f>E50*'Revenues from REFERENCE Rates'!D35</f>
        <v>748695</v>
      </c>
      <c r="F51" s="19">
        <f>F50*'Revenues from REFERENCE Rates'!E35</f>
        <v>1414290</v>
      </c>
      <c r="G51" s="19">
        <f>G50*'Revenues from REFERENCE Rates'!F35</f>
        <v>1738437.5</v>
      </c>
      <c r="H51" s="19">
        <f>H50*'Revenues from REFERENCE Rates'!G35</f>
        <v>1739175</v>
      </c>
      <c r="I51" s="19">
        <f>I50*'Revenues from REFERENCE Rates'!H35</f>
        <v>1540630</v>
      </c>
      <c r="J51" s="19">
        <f>J50*'Revenues from REFERENCE Rates'!I35</f>
        <v>1248720</v>
      </c>
      <c r="K51" s="19">
        <f>K50*'Revenues from REFERENCE Rates'!J35</f>
        <v>938497.5</v>
      </c>
      <c r="L51" s="19">
        <f>L50*'Revenues from REFERENCE Rates'!K35</f>
        <v>690050</v>
      </c>
      <c r="M51" s="19">
        <f>M50*'Revenues from REFERENCE Rates'!L35</f>
        <v>537350</v>
      </c>
      <c r="N51" s="19">
        <f>N50*'Revenues from REFERENCE Rates'!M35</f>
        <v>420660</v>
      </c>
      <c r="O51" s="19">
        <f>O50*'Revenues from REFERENCE Rates'!N35</f>
        <v>317492.5</v>
      </c>
      <c r="P51" s="19">
        <f>P50*'Revenues from REFERENCE Rates'!O35</f>
        <v>271390</v>
      </c>
      <c r="Q51" s="19">
        <f>Q50*'Revenues from REFERENCE Rates'!P35</f>
        <v>198487.5</v>
      </c>
      <c r="R51" s="19">
        <f>R50*'Revenues from REFERENCE Rates'!Q35</f>
        <v>206520</v>
      </c>
      <c r="S51" s="19">
        <f>S50*'Revenues from REFERENCE Rates'!R35</f>
        <v>171572.5</v>
      </c>
      <c r="T51" s="19">
        <f>T50*'Revenues from REFERENCE Rates'!S35</f>
        <v>101115</v>
      </c>
      <c r="U51" s="19">
        <f>U50*'Revenues from REFERENCE Rates'!T35</f>
        <v>127252.5</v>
      </c>
      <c r="V51" s="19">
        <f>V50*'Revenues from REFERENCE Rates'!U35</f>
        <v>139350</v>
      </c>
      <c r="W51" s="19">
        <f>W50*'Revenues from REFERENCE Rates'!V35</f>
        <v>161490</v>
      </c>
      <c r="X51" s="19">
        <f>X50*'Revenues from REFERENCE Rates'!W35</f>
        <v>86680</v>
      </c>
      <c r="Y51" s="19">
        <f>Y50*'Revenues from REFERENCE Rates'!X35</f>
        <v>61985</v>
      </c>
      <c r="Z51" s="19">
        <f>Z50*'Revenues from REFERENCE Rates'!Y35</f>
        <v>65880</v>
      </c>
      <c r="AA51" s="19">
        <f>AA50*'Revenues from REFERENCE Rates'!Z35</f>
        <v>67750</v>
      </c>
      <c r="AB51" s="19">
        <f>AB50*'Revenues from REFERENCE Rates'!AA35</f>
        <v>85865</v>
      </c>
      <c r="AC51" s="19">
        <f>AC50*'Revenues from REFERENCE Rates'!AB35</f>
        <v>122175</v>
      </c>
      <c r="AD51" s="19">
        <f>AD50*AF50</f>
        <v>620143.125</v>
      </c>
    </row>
    <row r="52" spans="1:32">
      <c r="C52" s="14" t="s">
        <v>197</v>
      </c>
      <c r="D52" s="19">
        <f>D50*'Revenues from REFERENCE Rates'!$C$35</f>
        <v>275345</v>
      </c>
      <c r="E52" s="19">
        <f>E50*'Revenues from REFERENCE Rates'!$C$35</f>
        <v>499130</v>
      </c>
      <c r="F52" s="19">
        <f>F50*'Revenues from REFERENCE Rates'!$C$35</f>
        <v>707145</v>
      </c>
      <c r="G52" s="19">
        <f>G50*'Revenues from REFERENCE Rates'!$C$35</f>
        <v>695375</v>
      </c>
      <c r="H52" s="19">
        <f>H50*'Revenues from REFERENCE Rates'!$C$35</f>
        <v>579725</v>
      </c>
      <c r="I52" s="19">
        <f>I50*'Revenues from REFERENCE Rates'!$C$35</f>
        <v>440180</v>
      </c>
      <c r="J52" s="19">
        <f>J50*'Revenues from REFERENCE Rates'!$C$35</f>
        <v>312180</v>
      </c>
      <c r="K52" s="19">
        <f>K50*'Revenues from REFERENCE Rates'!$C$35</f>
        <v>208555</v>
      </c>
      <c r="L52" s="19">
        <f>L50*'Revenues from REFERENCE Rates'!$C$35</f>
        <v>138010</v>
      </c>
      <c r="M52" s="19">
        <f>M50*'Revenues from REFERENCE Rates'!$C$35</f>
        <v>97700</v>
      </c>
      <c r="N52" s="19">
        <f>N50*'Revenues from REFERENCE Rates'!$C$35</f>
        <v>70110</v>
      </c>
      <c r="O52" s="19">
        <f>O50*'Revenues from REFERENCE Rates'!$C$35</f>
        <v>48845</v>
      </c>
      <c r="P52" s="19">
        <f>P50*'Revenues from REFERENCE Rates'!$C$35</f>
        <v>38770</v>
      </c>
      <c r="Q52" s="19">
        <f>Q50*'Revenues from REFERENCE Rates'!$C$35</f>
        <v>26465</v>
      </c>
      <c r="R52" s="19">
        <f>R50*'Revenues from REFERENCE Rates'!$C$35</f>
        <v>25815</v>
      </c>
      <c r="S52" s="19">
        <f>S50*'Revenues from REFERENCE Rates'!$C$35</f>
        <v>20185</v>
      </c>
      <c r="T52" s="19">
        <f>T50*'Revenues from REFERENCE Rates'!$C$35</f>
        <v>11235</v>
      </c>
      <c r="U52" s="19">
        <f>U50*'Revenues from REFERENCE Rates'!$C$35</f>
        <v>13395</v>
      </c>
      <c r="V52" s="19">
        <f>V50*'Revenues from REFERENCE Rates'!$C$35</f>
        <v>13935</v>
      </c>
      <c r="W52" s="19">
        <f>W50*'Revenues from REFERENCE Rates'!$C$35</f>
        <v>15380</v>
      </c>
      <c r="X52" s="19">
        <f>X50*'Revenues from REFERENCE Rates'!$C$35</f>
        <v>7880</v>
      </c>
      <c r="Y52" s="19">
        <f>Y50*'Revenues from REFERENCE Rates'!$C$35</f>
        <v>5390</v>
      </c>
      <c r="Z52" s="19">
        <f>Z50*'Revenues from REFERENCE Rates'!$C$35</f>
        <v>5490</v>
      </c>
      <c r="AA52" s="19">
        <f>AA50*'Revenues from REFERENCE Rates'!$C$35</f>
        <v>5420</v>
      </c>
      <c r="AB52" s="19">
        <f>AB50*'Revenues from REFERENCE Rates'!$C$35</f>
        <v>6605</v>
      </c>
      <c r="AC52" s="19">
        <f>AC50*'Revenues from REFERENCE Rates'!$C$35</f>
        <v>9050</v>
      </c>
      <c r="AD52" s="19">
        <f>AD50*'Revenues from REFERENCE Rates'!$C$35</f>
        <v>44695</v>
      </c>
    </row>
    <row r="53" spans="1:32">
      <c r="C53" s="14" t="s">
        <v>194</v>
      </c>
      <c r="D53" s="19">
        <f>SUM(D51:AD51)</f>
        <v>14096998.125</v>
      </c>
    </row>
    <row r="54" spans="1:32">
      <c r="C54" s="14" t="s">
        <v>195</v>
      </c>
      <c r="D54" s="19">
        <f>SUM(D52:AD52)</f>
        <v>4322010</v>
      </c>
    </row>
    <row r="55" spans="1:32">
      <c r="C55" s="14" t="s">
        <v>196</v>
      </c>
      <c r="D55" s="19">
        <f>D53-D54</f>
        <v>9774988.125</v>
      </c>
    </row>
    <row r="58" spans="1:32">
      <c r="A58" s="15">
        <f>'Significant Decline in Use'!L32</f>
        <v>-0.2</v>
      </c>
      <c r="C58" s="14" t="s">
        <v>185</v>
      </c>
      <c r="D58" s="14">
        <f>MAX(0,SUMPRODUCT($A$4:$A$30,D$4:D$30)+D$31*$A58)</f>
        <v>7.2518162898743882E-2</v>
      </c>
      <c r="E58" s="14">
        <f t="shared" ref="E58:AD58" si="4">MAX(0,SUMPRODUCT($A$4:$A$30,E$4:E$30)+E$31*$A58)</f>
        <v>0.12626378243456171</v>
      </c>
      <c r="F58" s="14">
        <f t="shared" si="4"/>
        <v>0.17579682283243217</v>
      </c>
      <c r="G58" s="14">
        <f t="shared" si="4"/>
        <v>0.16636111390533567</v>
      </c>
      <c r="H58" s="14">
        <f t="shared" si="4"/>
        <v>0.13476842506380132</v>
      </c>
      <c r="I58" s="14">
        <f t="shared" si="4"/>
        <v>9.8157559989449347E-2</v>
      </c>
      <c r="J58" s="14">
        <f t="shared" si="4"/>
        <v>6.6834831134125069E-2</v>
      </c>
      <c r="K58" s="14">
        <f t="shared" si="4"/>
        <v>4.2935004079120591E-2</v>
      </c>
      <c r="L58" s="14">
        <f t="shared" si="4"/>
        <v>2.8299160476259893E-2</v>
      </c>
      <c r="M58" s="14">
        <f t="shared" si="4"/>
        <v>1.9430360876073857E-2</v>
      </c>
      <c r="N58" s="14">
        <f t="shared" si="4"/>
        <v>1.3631679730033014E-2</v>
      </c>
      <c r="O58" s="14">
        <f t="shared" si="4"/>
        <v>9.2257181288335748E-3</v>
      </c>
      <c r="P58" s="14">
        <f t="shared" si="4"/>
        <v>7.191111654068362E-3</v>
      </c>
      <c r="Q58" s="14">
        <f t="shared" si="4"/>
        <v>4.8099502893329728E-3</v>
      </c>
      <c r="R58" s="14">
        <f t="shared" si="4"/>
        <v>4.7565976918146884E-3</v>
      </c>
      <c r="S58" s="14">
        <f t="shared" si="4"/>
        <v>3.8326142466121086E-3</v>
      </c>
      <c r="T58" s="14">
        <f t="shared" si="4"/>
        <v>2.1152493238099858E-3</v>
      </c>
      <c r="U58" s="14">
        <f t="shared" si="4"/>
        <v>2.4075521620727401E-3</v>
      </c>
      <c r="V58" s="14">
        <f t="shared" si="4"/>
        <v>2.1395663429746815E-3</v>
      </c>
      <c r="W58" s="14">
        <f t="shared" si="4"/>
        <v>2.4558019416891677E-3</v>
      </c>
      <c r="X58" s="14">
        <f t="shared" si="4"/>
        <v>1.2519900092780901E-3</v>
      </c>
      <c r="Y58" s="14">
        <f t="shared" si="4"/>
        <v>1.0049801296156187E-3</v>
      </c>
      <c r="Z58" s="14">
        <f t="shared" si="4"/>
        <v>1.0048922862279355E-3</v>
      </c>
      <c r="AA58" s="14">
        <f t="shared" si="4"/>
        <v>9.9677508150143091E-4</v>
      </c>
      <c r="AB58" s="14">
        <f t="shared" si="4"/>
        <v>1.0614105288974346E-3</v>
      </c>
      <c r="AC58" s="14">
        <f t="shared" si="4"/>
        <v>1.204324055242815E-3</v>
      </c>
      <c r="AD58" s="14">
        <f t="shared" si="4"/>
        <v>6.3525722291248761E-3</v>
      </c>
    </row>
    <row r="60" spans="1:32">
      <c r="C60" s="14" t="s">
        <v>182</v>
      </c>
      <c r="D60" s="14">
        <f>SUM(D58:AD58)</f>
        <v>0.99680800952103288</v>
      </c>
    </row>
    <row r="61" spans="1:32">
      <c r="C61" s="14" t="s">
        <v>183</v>
      </c>
      <c r="D61" s="14">
        <f>1-D60</f>
        <v>3.1919904789671216E-3</v>
      </c>
    </row>
    <row r="62" spans="1:32">
      <c r="C62" s="14" t="s">
        <v>184</v>
      </c>
      <c r="D62" s="14">
        <f>D61/COUNTIF(D58:AD58,"&gt;0")</f>
        <v>1.1822186959137488E-4</v>
      </c>
    </row>
    <row r="63" spans="1:32">
      <c r="AF63" s="14" t="s">
        <v>188</v>
      </c>
    </row>
    <row r="64" spans="1:32">
      <c r="C64" s="14" t="s">
        <v>179</v>
      </c>
      <c r="D64" s="14">
        <f>MAX(0,D58+$D62)</f>
        <v>7.2636384768335255E-2</v>
      </c>
      <c r="E64" s="14">
        <f t="shared" ref="E64:AD64" si="5">MAX(0,E58+$D62)</f>
        <v>0.12638200430415308</v>
      </c>
      <c r="F64" s="14">
        <f t="shared" si="5"/>
        <v>0.17591504470202354</v>
      </c>
      <c r="G64" s="14">
        <f t="shared" si="5"/>
        <v>0.16647933577492705</v>
      </c>
      <c r="H64" s="14">
        <f t="shared" si="5"/>
        <v>0.1348866469333927</v>
      </c>
      <c r="I64" s="14">
        <f t="shared" si="5"/>
        <v>9.827578185904072E-2</v>
      </c>
      <c r="J64" s="14">
        <f t="shared" si="5"/>
        <v>6.6953053003716442E-2</v>
      </c>
      <c r="K64" s="14">
        <f t="shared" si="5"/>
        <v>4.3053225948711964E-2</v>
      </c>
      <c r="L64" s="14">
        <f t="shared" si="5"/>
        <v>2.8417382345851269E-2</v>
      </c>
      <c r="M64" s="14">
        <f t="shared" si="5"/>
        <v>1.9548582745665233E-2</v>
      </c>
      <c r="N64" s="14">
        <f t="shared" si="5"/>
        <v>1.3749901599624388E-2</v>
      </c>
      <c r="O64" s="14">
        <f t="shared" si="5"/>
        <v>9.3439399984249494E-3</v>
      </c>
      <c r="P64" s="14">
        <f t="shared" si="5"/>
        <v>7.3093335236597366E-3</v>
      </c>
      <c r="Q64" s="14">
        <f t="shared" si="5"/>
        <v>4.9281721589243474E-3</v>
      </c>
      <c r="R64" s="14">
        <f t="shared" si="5"/>
        <v>4.874819561406063E-3</v>
      </c>
      <c r="S64" s="14">
        <f t="shared" si="5"/>
        <v>3.9508361162034836E-3</v>
      </c>
      <c r="T64" s="14">
        <f t="shared" si="5"/>
        <v>2.2334711934013608E-3</v>
      </c>
      <c r="U64" s="14">
        <f t="shared" si="5"/>
        <v>2.5257740316641151E-3</v>
      </c>
      <c r="V64" s="14">
        <f t="shared" si="5"/>
        <v>2.2577882125660565E-3</v>
      </c>
      <c r="W64" s="14">
        <f t="shared" si="5"/>
        <v>2.5740238112805427E-3</v>
      </c>
      <c r="X64" s="14">
        <f t="shared" si="5"/>
        <v>1.3702118788694651E-3</v>
      </c>
      <c r="Y64" s="14">
        <f t="shared" si="5"/>
        <v>1.1232019992069935E-3</v>
      </c>
      <c r="Z64" s="14">
        <f t="shared" si="5"/>
        <v>1.1231141558193103E-3</v>
      </c>
      <c r="AA64" s="14">
        <f t="shared" si="5"/>
        <v>1.1149969510928057E-3</v>
      </c>
      <c r="AB64" s="14">
        <f t="shared" si="5"/>
        <v>1.1796323984888096E-3</v>
      </c>
      <c r="AC64" s="14">
        <f t="shared" si="5"/>
        <v>1.3225459248341898E-3</v>
      </c>
      <c r="AD64" s="14">
        <f t="shared" si="5"/>
        <v>6.4707940987162507E-3</v>
      </c>
      <c r="AF64" s="16">
        <f>'Significant Decline in Use'!$AE$13-('Significant Decline in Use'!$AE$13*-'pred conserv percent - REFEREN'!A58)</f>
        <v>22000</v>
      </c>
    </row>
    <row r="65" spans="3:32">
      <c r="C65" s="14" t="s">
        <v>187</v>
      </c>
      <c r="D65" s="14">
        <f>ROUND(D64*SUM('Significant Decline in Use'!$C$13:$AC$13),0)</f>
        <v>62787</v>
      </c>
      <c r="E65" s="14">
        <f>ROUND(E64*SUM('Significant Decline in Use'!$C$13:$AC$13),0)</f>
        <v>109245</v>
      </c>
      <c r="F65" s="14">
        <f>ROUND(F64*SUM('Significant Decline in Use'!$C$13:$AC$13),0)</f>
        <v>152061</v>
      </c>
      <c r="G65" s="14">
        <f>ROUND(G64*SUM('Significant Decline in Use'!$C$13:$AC$13),0)</f>
        <v>143905</v>
      </c>
      <c r="H65" s="14">
        <f>ROUND(H64*SUM('Significant Decline in Use'!$C$13:$AC$13),0)</f>
        <v>116596</v>
      </c>
      <c r="I65" s="14">
        <f>ROUND(I64*SUM('Significant Decline in Use'!$C$13:$AC$13),0)</f>
        <v>84950</v>
      </c>
      <c r="J65" s="14">
        <f>ROUND(J64*SUM('Significant Decline in Use'!$C$13:$AC$13),0)</f>
        <v>57874</v>
      </c>
      <c r="K65" s="14">
        <f>ROUND(K64*SUM('Significant Decline in Use'!$C$13:$AC$13),0)</f>
        <v>37215</v>
      </c>
      <c r="L65" s="14">
        <f>ROUND(L64*SUM('Significant Decline in Use'!$C$13:$AC$13),0)</f>
        <v>24564</v>
      </c>
      <c r="M65" s="14">
        <f>ROUND(M64*SUM('Significant Decline in Use'!$C$13:$AC$13),0)</f>
        <v>16898</v>
      </c>
      <c r="N65" s="14">
        <f>ROUND(N64*SUM('Significant Decline in Use'!$C$13:$AC$13),0)</f>
        <v>11885</v>
      </c>
      <c r="O65" s="14">
        <f>ROUND(O64*SUM('Significant Decline in Use'!$C$13:$AC$13),0)</f>
        <v>8077</v>
      </c>
      <c r="P65" s="14">
        <f>ROUND(P64*SUM('Significant Decline in Use'!$C$13:$AC$13),0)</f>
        <v>6318</v>
      </c>
      <c r="Q65" s="14">
        <f>ROUND(Q64*SUM('Significant Decline in Use'!$C$13:$AC$13),0)</f>
        <v>4260</v>
      </c>
      <c r="R65" s="14">
        <f>ROUND(R64*SUM('Significant Decline in Use'!$C$13:$AC$13),0)</f>
        <v>4214</v>
      </c>
      <c r="S65" s="14">
        <f>ROUND(S64*SUM('Significant Decline in Use'!$C$13:$AC$13),0)</f>
        <v>3415</v>
      </c>
      <c r="T65" s="14">
        <f>ROUND(T64*SUM('Significant Decline in Use'!$C$13:$AC$13),0)</f>
        <v>1931</v>
      </c>
      <c r="U65" s="14">
        <f>ROUND(U64*SUM('Significant Decline in Use'!$C$13:$AC$13),0)</f>
        <v>2183</v>
      </c>
      <c r="V65" s="14">
        <f>ROUND(V64*SUM('Significant Decline in Use'!$C$13:$AC$13),0)</f>
        <v>1952</v>
      </c>
      <c r="W65" s="14">
        <f>ROUND(W64*SUM('Significant Decline in Use'!$C$13:$AC$13),0)</f>
        <v>2225</v>
      </c>
      <c r="X65" s="14">
        <f>ROUND(X64*SUM('Significant Decline in Use'!$C$13:$AC$13),0)</f>
        <v>1184</v>
      </c>
      <c r="Y65" s="14">
        <f>ROUND(Y64*SUM('Significant Decline in Use'!$C$13:$AC$13),0)</f>
        <v>971</v>
      </c>
      <c r="Z65" s="14">
        <f>ROUND(Z64*SUM('Significant Decline in Use'!$C$13:$AC$13),0)</f>
        <v>971</v>
      </c>
      <c r="AA65" s="14">
        <f>ROUND(AA64*SUM('Significant Decline in Use'!$C$13:$AC$13),0)</f>
        <v>964</v>
      </c>
      <c r="AB65" s="14">
        <f>ROUND(AB64*SUM('Significant Decline in Use'!$C$13:$AC$13),0)</f>
        <v>1020</v>
      </c>
      <c r="AC65" s="14">
        <f>ROUND(AC64*SUM('Significant Decline in Use'!$C$13:$AC$13),0)</f>
        <v>1143</v>
      </c>
      <c r="AD65" s="17">
        <f>SUM('Significant Decline in Use'!$C$13:$AC$13)-SUM('pred conserv percent - REFEREN'!D65:AC65)</f>
        <v>5594</v>
      </c>
      <c r="AF65" s="18">
        <f>'Input REFERENCE Rates'!S53</f>
        <v>65</v>
      </c>
    </row>
    <row r="66" spans="3:32">
      <c r="C66" s="14" t="s">
        <v>193</v>
      </c>
      <c r="D66" s="19">
        <f>D65*'Revenues from REFERENCE Rates'!C35</f>
        <v>313935</v>
      </c>
      <c r="E66" s="19">
        <f>E65*'Revenues from REFERENCE Rates'!D35</f>
        <v>819337.5</v>
      </c>
      <c r="F66" s="19">
        <f>F65*'Revenues from REFERENCE Rates'!E35</f>
        <v>1520610</v>
      </c>
      <c r="G66" s="19">
        <f>G65*'Revenues from REFERENCE Rates'!F35</f>
        <v>1798812.5</v>
      </c>
      <c r="H66" s="19">
        <f>H65*'Revenues from REFERENCE Rates'!G35</f>
        <v>1748940</v>
      </c>
      <c r="I66" s="19">
        <f>I65*'Revenues from REFERENCE Rates'!H35</f>
        <v>1486625</v>
      </c>
      <c r="J66" s="19">
        <f>J65*'Revenues from REFERENCE Rates'!I35</f>
        <v>1157480</v>
      </c>
      <c r="K66" s="19">
        <f>K65*'Revenues from REFERENCE Rates'!J35</f>
        <v>837337.5</v>
      </c>
      <c r="L66" s="19">
        <f>L65*'Revenues from REFERENCE Rates'!K35</f>
        <v>614100</v>
      </c>
      <c r="M66" s="19">
        <f>M65*'Revenues from REFERENCE Rates'!L35</f>
        <v>464695</v>
      </c>
      <c r="N66" s="19">
        <f>N65*'Revenues from REFERENCE Rates'!M35</f>
        <v>356550</v>
      </c>
      <c r="O66" s="19">
        <f>O65*'Revenues from REFERENCE Rates'!N35</f>
        <v>262502.5</v>
      </c>
      <c r="P66" s="19">
        <f>P65*'Revenues from REFERENCE Rates'!O35</f>
        <v>221130</v>
      </c>
      <c r="Q66" s="19">
        <f>Q65*'Revenues from REFERENCE Rates'!P35</f>
        <v>159750</v>
      </c>
      <c r="R66" s="19">
        <f>R65*'Revenues from REFERENCE Rates'!Q35</f>
        <v>168560</v>
      </c>
      <c r="S66" s="19">
        <f>S65*'Revenues from REFERENCE Rates'!R35</f>
        <v>145137.5</v>
      </c>
      <c r="T66" s="19">
        <f>T65*'Revenues from REFERENCE Rates'!S35</f>
        <v>86895</v>
      </c>
      <c r="U66" s="19">
        <f>U65*'Revenues from REFERENCE Rates'!T35</f>
        <v>103692.5</v>
      </c>
      <c r="V66" s="19">
        <f>V65*'Revenues from REFERENCE Rates'!U35</f>
        <v>97600</v>
      </c>
      <c r="W66" s="19">
        <f>W65*'Revenues from REFERENCE Rates'!V35</f>
        <v>116812.5</v>
      </c>
      <c r="X66" s="19">
        <f>X65*'Revenues from REFERENCE Rates'!W35</f>
        <v>65120</v>
      </c>
      <c r="Y66" s="19">
        <f>Y65*'Revenues from REFERENCE Rates'!X35</f>
        <v>55832.5</v>
      </c>
      <c r="Z66" s="19">
        <f>Z65*'Revenues from REFERENCE Rates'!Y35</f>
        <v>58260</v>
      </c>
      <c r="AA66" s="19">
        <f>AA65*'Revenues from REFERENCE Rates'!Z35</f>
        <v>60250</v>
      </c>
      <c r="AB66" s="19">
        <f>AB65*'Revenues from REFERENCE Rates'!AA35</f>
        <v>66300</v>
      </c>
      <c r="AC66" s="19">
        <f>AC65*'Revenues from REFERENCE Rates'!AB35</f>
        <v>77152.5</v>
      </c>
      <c r="AD66" s="19">
        <f>AD65*AF65</f>
        <v>363610</v>
      </c>
    </row>
    <row r="67" spans="3:32">
      <c r="C67" s="14" t="s">
        <v>197</v>
      </c>
      <c r="D67" s="19">
        <f>D65*'Revenues from REFERENCE Rates'!$C$35</f>
        <v>313935</v>
      </c>
      <c r="E67" s="19">
        <f>E65*'Revenues from REFERENCE Rates'!$C$35</f>
        <v>546225</v>
      </c>
      <c r="F67" s="19">
        <f>F65*'Revenues from REFERENCE Rates'!$C$35</f>
        <v>760305</v>
      </c>
      <c r="G67" s="19">
        <f>G65*'Revenues from REFERENCE Rates'!$C$35</f>
        <v>719525</v>
      </c>
      <c r="H67" s="19">
        <f>H65*'Revenues from REFERENCE Rates'!$C$35</f>
        <v>582980</v>
      </c>
      <c r="I67" s="19">
        <f>I65*'Revenues from REFERENCE Rates'!$C$35</f>
        <v>424750</v>
      </c>
      <c r="J67" s="19">
        <f>J65*'Revenues from REFERENCE Rates'!$C$35</f>
        <v>289370</v>
      </c>
      <c r="K67" s="19">
        <f>K65*'Revenues from REFERENCE Rates'!$C$35</f>
        <v>186075</v>
      </c>
      <c r="L67" s="19">
        <f>L65*'Revenues from REFERENCE Rates'!$C$35</f>
        <v>122820</v>
      </c>
      <c r="M67" s="19">
        <f>M65*'Revenues from REFERENCE Rates'!$C$35</f>
        <v>84490</v>
      </c>
      <c r="N67" s="19">
        <f>N65*'Revenues from REFERENCE Rates'!$C$35</f>
        <v>59425</v>
      </c>
      <c r="O67" s="19">
        <f>O65*'Revenues from REFERENCE Rates'!$C$35</f>
        <v>40385</v>
      </c>
      <c r="P67" s="19">
        <f>P65*'Revenues from REFERENCE Rates'!$C$35</f>
        <v>31590</v>
      </c>
      <c r="Q67" s="19">
        <f>Q65*'Revenues from REFERENCE Rates'!$C$35</f>
        <v>21300</v>
      </c>
      <c r="R67" s="19">
        <f>R65*'Revenues from REFERENCE Rates'!$C$35</f>
        <v>21070</v>
      </c>
      <c r="S67" s="19">
        <f>S65*'Revenues from REFERENCE Rates'!$C$35</f>
        <v>17075</v>
      </c>
      <c r="T67" s="19">
        <f>T65*'Revenues from REFERENCE Rates'!$C$35</f>
        <v>9655</v>
      </c>
      <c r="U67" s="19">
        <f>U65*'Revenues from REFERENCE Rates'!$C$35</f>
        <v>10915</v>
      </c>
      <c r="V67" s="19">
        <f>V65*'Revenues from REFERENCE Rates'!$C$35</f>
        <v>9760</v>
      </c>
      <c r="W67" s="19">
        <f>W65*'Revenues from REFERENCE Rates'!$C$35</f>
        <v>11125</v>
      </c>
      <c r="X67" s="19">
        <f>X65*'Revenues from REFERENCE Rates'!$C$35</f>
        <v>5920</v>
      </c>
      <c r="Y67" s="19">
        <f>Y65*'Revenues from REFERENCE Rates'!$C$35</f>
        <v>4855</v>
      </c>
      <c r="Z67" s="19">
        <f>Z65*'Revenues from REFERENCE Rates'!$C$35</f>
        <v>4855</v>
      </c>
      <c r="AA67" s="19">
        <f>AA65*'Revenues from REFERENCE Rates'!$C$35</f>
        <v>4820</v>
      </c>
      <c r="AB67" s="19">
        <f>AB65*'Revenues from REFERENCE Rates'!$C$35</f>
        <v>5100</v>
      </c>
      <c r="AC67" s="19">
        <f>AC65*'Revenues from REFERENCE Rates'!$C$35</f>
        <v>5715</v>
      </c>
      <c r="AD67" s="19">
        <f>AD65*'Revenues from REFERENCE Rates'!$C$35</f>
        <v>27970</v>
      </c>
    </row>
    <row r="68" spans="3:32">
      <c r="C68" s="14" t="s">
        <v>194</v>
      </c>
      <c r="D68" s="19">
        <f>SUM(D66:AD66)</f>
        <v>13227027.5</v>
      </c>
    </row>
    <row r="69" spans="3:32">
      <c r="C69" s="14" t="s">
        <v>195</v>
      </c>
      <c r="D69" s="19">
        <f>SUM(D67:AD67)</f>
        <v>4322010</v>
      </c>
    </row>
    <row r="70" spans="3:32">
      <c r="C70" s="14" t="s">
        <v>196</v>
      </c>
      <c r="D70" s="19">
        <f>D68-D69</f>
        <v>8905017.5</v>
      </c>
    </row>
    <row r="73" spans="3:32">
      <c r="D73" s="17"/>
    </row>
  </sheetData>
  <sheetProtection password="EB90" sheet="1" objects="1" scenarios="1" selectLockedCells="1" selectUnlockedCells="1"/>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3"/>
  <sheetViews>
    <sheetView workbookViewId="0"/>
  </sheetViews>
  <sheetFormatPr defaultRowHeight="12.75"/>
  <cols>
    <col min="1" max="1" width="23.7109375" style="14" customWidth="1"/>
    <col min="2" max="2" width="9.140625" style="14"/>
    <col min="3" max="3" width="25.5703125" style="14" bestFit="1" customWidth="1"/>
    <col min="4" max="5" width="11.140625" style="14" bestFit="1" customWidth="1"/>
    <col min="6" max="10" width="12.7109375" style="14" bestFit="1" customWidth="1"/>
    <col min="11" max="19" width="11.140625" style="14" bestFit="1" customWidth="1"/>
    <col min="20" max="20" width="10.140625" style="14" bestFit="1" customWidth="1"/>
    <col min="21" max="23" width="11.140625" style="14" bestFit="1" customWidth="1"/>
    <col min="24" max="28" width="10.140625" style="14" bestFit="1" customWidth="1"/>
    <col min="29" max="29" width="11.140625" style="14" bestFit="1" customWidth="1"/>
    <col min="30" max="30" width="11.28515625" style="14" bestFit="1" customWidth="1"/>
    <col min="31" max="16384" width="9.140625" style="14"/>
  </cols>
  <sheetData>
    <row r="1" spans="1:30">
      <c r="C1" s="14" t="s">
        <v>174</v>
      </c>
    </row>
    <row r="2" spans="1:30">
      <c r="A2" s="14" t="s">
        <v>181</v>
      </c>
      <c r="C2" s="14" t="s">
        <v>118</v>
      </c>
    </row>
    <row r="3" spans="1:30">
      <c r="A3" s="14" t="s">
        <v>180</v>
      </c>
      <c r="D3" s="14" t="s">
        <v>119</v>
      </c>
      <c r="E3" s="14" t="s">
        <v>120</v>
      </c>
      <c r="F3" s="14" t="s">
        <v>121</v>
      </c>
      <c r="G3" s="14" t="s">
        <v>122</v>
      </c>
      <c r="H3" s="14" t="s">
        <v>123</v>
      </c>
      <c r="I3" s="14" t="s">
        <v>124</v>
      </c>
      <c r="J3" s="14" t="s">
        <v>125</v>
      </c>
      <c r="K3" s="14" t="s">
        <v>126</v>
      </c>
      <c r="L3" s="14" t="s">
        <v>127</v>
      </c>
      <c r="M3" s="14" t="s">
        <v>128</v>
      </c>
      <c r="N3" s="14" t="s">
        <v>129</v>
      </c>
      <c r="O3" s="14" t="s">
        <v>130</v>
      </c>
      <c r="P3" s="14" t="s">
        <v>131</v>
      </c>
      <c r="Q3" s="14" t="s">
        <v>132</v>
      </c>
      <c r="R3" s="14" t="s">
        <v>133</v>
      </c>
      <c r="S3" s="14" t="s">
        <v>134</v>
      </c>
      <c r="T3" s="14" t="s">
        <v>135</v>
      </c>
      <c r="U3" s="14" t="s">
        <v>136</v>
      </c>
      <c r="V3" s="14" t="s">
        <v>137</v>
      </c>
      <c r="W3" s="14" t="s">
        <v>138</v>
      </c>
      <c r="X3" s="14" t="s">
        <v>139</v>
      </c>
      <c r="Y3" s="14" t="s">
        <v>140</v>
      </c>
      <c r="Z3" s="14" t="s">
        <v>141</v>
      </c>
      <c r="AA3" s="14" t="s">
        <v>142</v>
      </c>
      <c r="AB3" s="14" t="s">
        <v>143</v>
      </c>
      <c r="AC3" s="14" t="s">
        <v>144</v>
      </c>
      <c r="AD3" s="14" t="s">
        <v>145</v>
      </c>
    </row>
    <row r="4" spans="1:30">
      <c r="A4" s="14">
        <f t="array" ref="A4:A30">TRANSPOSE('Significant Decline in Use'!C22:AC22)</f>
        <v>7.7546005740378038E-2</v>
      </c>
      <c r="C4" s="14" t="s">
        <v>146</v>
      </c>
      <c r="D4" s="14">
        <v>0.64709000000000005</v>
      </c>
      <c r="E4" s="14">
        <v>9.0109999999999996E-2</v>
      </c>
      <c r="F4" s="14">
        <v>5.5469999999999998E-2</v>
      </c>
      <c r="G4" s="14">
        <v>5.6730000000000003E-2</v>
      </c>
      <c r="H4" s="14">
        <v>5.3780000000000001E-2</v>
      </c>
      <c r="I4" s="14">
        <v>3.9890000000000002E-2</v>
      </c>
      <c r="J4" s="14">
        <v>2.0209999999999999E-2</v>
      </c>
      <c r="K4" s="14">
        <v>1.3860000000000001E-2</v>
      </c>
      <c r="L4" s="14">
        <v>1.057E-2</v>
      </c>
      <c r="M4" s="14">
        <v>-1.4999999999999999E-4</v>
      </c>
      <c r="N4" s="14">
        <v>1.5299999999999999E-3</v>
      </c>
      <c r="O4" s="14">
        <v>1.4400000000000001E-3</v>
      </c>
      <c r="P4" s="14">
        <v>-1.8000000000000001E-4</v>
      </c>
      <c r="Q4" s="14">
        <v>8.8999999999999995E-4</v>
      </c>
      <c r="R4" s="14">
        <v>-2.5400000000000002E-3</v>
      </c>
      <c r="S4" s="14">
        <v>6.7000000000000002E-4</v>
      </c>
      <c r="T4" s="14">
        <v>-4.4000000000000002E-4</v>
      </c>
      <c r="U4" s="14">
        <v>4.0000000000000003E-5</v>
      </c>
      <c r="V4" s="14">
        <v>5.9999999999999995E-4</v>
      </c>
      <c r="W4" s="14">
        <v>1.01E-3</v>
      </c>
      <c r="X4" s="14">
        <v>2.3000000000000001E-4</v>
      </c>
      <c r="Y4" s="14">
        <v>1E-3</v>
      </c>
      <c r="Z4" s="14">
        <v>7.7999999999999999E-4</v>
      </c>
      <c r="AA4" s="14">
        <v>6.9999999999999999E-4</v>
      </c>
      <c r="AB4" s="14">
        <v>-7.9000000000000001E-4</v>
      </c>
      <c r="AC4" s="14">
        <v>9.3999999999999997E-4</v>
      </c>
      <c r="AD4" s="14">
        <v>-8.7000000000000001E-4</v>
      </c>
    </row>
    <row r="5" spans="1:30">
      <c r="A5" s="14">
        <v>9.7045012569368691E-2</v>
      </c>
      <c r="C5" s="14" t="s">
        <v>147</v>
      </c>
      <c r="D5" s="14">
        <v>0.13177</v>
      </c>
      <c r="E5" s="14">
        <v>0.72160000000000002</v>
      </c>
      <c r="F5" s="14">
        <v>7.7329999999999996E-2</v>
      </c>
      <c r="G5" s="14">
        <v>-5.0099999999999997E-3</v>
      </c>
      <c r="H5" s="14">
        <v>-3.0000000000000001E-3</v>
      </c>
      <c r="I5" s="14">
        <v>1.439E-2</v>
      </c>
      <c r="J5" s="14">
        <v>1.6240000000000001E-2</v>
      </c>
      <c r="K5" s="14">
        <v>7.7600000000000004E-3</v>
      </c>
      <c r="L5" s="14">
        <v>4.3200000000000001E-3</v>
      </c>
      <c r="M5" s="14">
        <v>4.8599999999999997E-3</v>
      </c>
      <c r="N5" s="14">
        <v>3.47E-3</v>
      </c>
      <c r="O5" s="14">
        <v>-2.9E-4</v>
      </c>
      <c r="P5" s="14">
        <v>9.7000000000000005E-4</v>
      </c>
      <c r="Q5" s="14">
        <v>3.2499999999999999E-3</v>
      </c>
      <c r="R5" s="14">
        <v>1.81E-3</v>
      </c>
      <c r="S5" s="14">
        <v>1.8400000000000001E-3</v>
      </c>
      <c r="T5" s="14">
        <v>1.5200000000000001E-3</v>
      </c>
      <c r="U5" s="14">
        <v>1.5299999999999999E-3</v>
      </c>
      <c r="V5" s="14">
        <v>8.9999999999999998E-4</v>
      </c>
      <c r="W5" s="14">
        <v>-7.5000000000000002E-4</v>
      </c>
      <c r="X5" s="14">
        <v>8.8999999999999995E-4</v>
      </c>
      <c r="Y5" s="14">
        <v>9.6000000000000002E-4</v>
      </c>
      <c r="Z5" s="14">
        <v>5.4000000000000001E-4</v>
      </c>
      <c r="AA5" s="14">
        <v>8.7000000000000001E-4</v>
      </c>
      <c r="AB5" s="14">
        <v>2.0799999999999998E-3</v>
      </c>
      <c r="AC5" s="14">
        <v>-1E-4</v>
      </c>
      <c r="AD5" s="14">
        <v>7.3099999999999997E-3</v>
      </c>
    </row>
    <row r="6" spans="1:30">
      <c r="A6" s="14">
        <v>0.13745556181549579</v>
      </c>
      <c r="C6" s="14" t="s">
        <v>148</v>
      </c>
      <c r="D6" s="14">
        <v>-2.3800000000000002E-3</v>
      </c>
      <c r="E6" s="14">
        <v>0.27167000000000002</v>
      </c>
      <c r="F6" s="14">
        <v>0.57069000000000003</v>
      </c>
      <c r="G6" s="14">
        <v>7.7579999999999996E-2</v>
      </c>
      <c r="H6" s="14">
        <v>9.0399999999999994E-3</v>
      </c>
      <c r="I6" s="14">
        <v>1.027E-2</v>
      </c>
      <c r="J6" s="14">
        <v>1.153E-2</v>
      </c>
      <c r="K6" s="14">
        <v>1.6590000000000001E-2</v>
      </c>
      <c r="L6" s="14">
        <v>9.1000000000000004E-3</v>
      </c>
      <c r="M6" s="14">
        <v>4.3499999999999997E-3</v>
      </c>
      <c r="N6" s="14">
        <v>6.1900000000000002E-3</v>
      </c>
      <c r="O6" s="14">
        <v>4.15E-3</v>
      </c>
      <c r="P6" s="14">
        <v>4.3200000000000001E-3</v>
      </c>
      <c r="Q6" s="14">
        <v>-5.1999999999999995E-4</v>
      </c>
      <c r="R6" s="14">
        <v>2.3600000000000001E-3</v>
      </c>
      <c r="S6" s="14">
        <v>1.5100000000000001E-3</v>
      </c>
      <c r="T6" s="14">
        <v>1.9400000000000001E-3</v>
      </c>
      <c r="U6" s="14">
        <v>2.2599999999999999E-3</v>
      </c>
      <c r="V6" s="14">
        <v>-5.5000000000000003E-4</v>
      </c>
      <c r="W6" s="14">
        <v>-6.9999999999999999E-4</v>
      </c>
      <c r="X6" s="14">
        <v>1.17E-3</v>
      </c>
      <c r="Y6" s="14">
        <v>8.8999999999999995E-4</v>
      </c>
      <c r="Z6" s="14">
        <v>1.41E-3</v>
      </c>
      <c r="AA6" s="14">
        <v>1.0399999999999999E-3</v>
      </c>
      <c r="AB6" s="14">
        <v>-1.0200000000000001E-3</v>
      </c>
      <c r="AC6" s="14">
        <v>9.3999999999999997E-4</v>
      </c>
      <c r="AD6" s="14">
        <v>6.0099999999999997E-3</v>
      </c>
    </row>
    <row r="7" spans="1:30">
      <c r="A7" s="14">
        <v>0.13993357265071962</v>
      </c>
      <c r="C7" s="14" t="s">
        <v>149</v>
      </c>
      <c r="D7" s="14">
        <v>-7.5900000000000004E-3</v>
      </c>
      <c r="E7" s="14">
        <v>1.1769999999999999E-2</v>
      </c>
      <c r="F7" s="14">
        <v>0.38999</v>
      </c>
      <c r="G7" s="14">
        <v>0.45311000000000001</v>
      </c>
      <c r="H7" s="14">
        <v>9.5409999999999995E-2</v>
      </c>
      <c r="I7" s="14">
        <v>5.5999999999999999E-3</v>
      </c>
      <c r="J7" s="14">
        <v>7.8100000000000001E-3</v>
      </c>
      <c r="K7" s="14">
        <v>1.7899999999999999E-3</v>
      </c>
      <c r="L7" s="14">
        <v>-2.4000000000000001E-4</v>
      </c>
      <c r="M7" s="14">
        <v>8.2199999999999999E-3</v>
      </c>
      <c r="N7" s="14">
        <v>-1.33E-3</v>
      </c>
      <c r="O7" s="14">
        <v>8.2500000000000004E-3</v>
      </c>
      <c r="P7" s="14">
        <v>2.0200000000000001E-3</v>
      </c>
      <c r="Q7" s="14">
        <v>4.5700000000000003E-3</v>
      </c>
      <c r="R7" s="14">
        <v>3.0699999999999998E-3</v>
      </c>
      <c r="S7" s="14">
        <v>-4.0000000000000003E-5</v>
      </c>
      <c r="T7" s="14">
        <v>1.9E-3</v>
      </c>
      <c r="U7" s="14">
        <v>9.3000000000000005E-4</v>
      </c>
      <c r="V7" s="14">
        <v>1.15E-3</v>
      </c>
      <c r="W7" s="14">
        <v>1.2600000000000001E-3</v>
      </c>
      <c r="X7" s="14">
        <v>8.0000000000000004E-4</v>
      </c>
      <c r="Y7" s="14">
        <v>8.7000000000000001E-4</v>
      </c>
      <c r="Z7" s="14">
        <v>9.3000000000000005E-4</v>
      </c>
      <c r="AA7" s="14">
        <v>7.5000000000000002E-4</v>
      </c>
      <c r="AB7" s="14">
        <v>2.2699999999999999E-3</v>
      </c>
      <c r="AC7" s="14">
        <v>-1.32E-3</v>
      </c>
      <c r="AD7" s="14">
        <v>5.8300000000000001E-3</v>
      </c>
    </row>
    <row r="8" spans="1:30">
      <c r="A8" s="14">
        <v>0.1312454954459899</v>
      </c>
      <c r="C8" s="14" t="s">
        <v>150</v>
      </c>
      <c r="D8" s="14">
        <v>4.2999999999999999E-4</v>
      </c>
      <c r="E8" s="14">
        <v>-3.63E-3</v>
      </c>
      <c r="F8" s="14">
        <v>9.9279999999999993E-2</v>
      </c>
      <c r="G8" s="14">
        <v>0.41725000000000001</v>
      </c>
      <c r="H8" s="14">
        <v>0.33157999999999999</v>
      </c>
      <c r="I8" s="14">
        <v>9.4030000000000002E-2</v>
      </c>
      <c r="J8" s="14">
        <v>1.2409999999999999E-2</v>
      </c>
      <c r="K8" s="14">
        <v>8.6E-3</v>
      </c>
      <c r="L8" s="14">
        <v>1.0330000000000001E-2</v>
      </c>
      <c r="M8" s="14">
        <v>5.8399999999999997E-3</v>
      </c>
      <c r="N8" s="14">
        <v>5.0600000000000003E-3</v>
      </c>
      <c r="O8" s="14">
        <v>1.5200000000000001E-3</v>
      </c>
      <c r="P8" s="14">
        <v>3.9500000000000004E-3</v>
      </c>
      <c r="Q8" s="14">
        <v>5.5000000000000003E-4</v>
      </c>
      <c r="R8" s="14">
        <v>1.0200000000000001E-3</v>
      </c>
      <c r="S8" s="14">
        <v>3.3300000000000001E-3</v>
      </c>
      <c r="T8" s="14">
        <v>2.4599999999999999E-3</v>
      </c>
      <c r="U8" s="14">
        <v>1.6199999999999999E-3</v>
      </c>
      <c r="V8" s="14">
        <v>2.0600000000000002E-3</v>
      </c>
      <c r="W8" s="14">
        <v>2.1800000000000001E-3</v>
      </c>
      <c r="X8" s="14">
        <v>1.6800000000000001E-3</v>
      </c>
      <c r="Y8" s="14">
        <v>1.16E-3</v>
      </c>
      <c r="Z8" s="14">
        <v>1.1900000000000001E-3</v>
      </c>
      <c r="AA8" s="14">
        <v>1.2800000000000001E-3</v>
      </c>
      <c r="AB8" s="14">
        <v>3.3E-4</v>
      </c>
      <c r="AC8" s="14">
        <v>-3.6000000000000002E-4</v>
      </c>
      <c r="AD8" s="14">
        <v>8.5299999999999994E-3</v>
      </c>
    </row>
    <row r="9" spans="1:30">
      <c r="A9" s="14">
        <v>0.10041843908454737</v>
      </c>
      <c r="C9" s="14" t="s">
        <v>151</v>
      </c>
      <c r="D9" s="14">
        <v>-1.6209999999999999E-2</v>
      </c>
      <c r="E9" s="14">
        <v>-2.844E-2</v>
      </c>
      <c r="F9" s="14">
        <v>-8.6800000000000002E-3</v>
      </c>
      <c r="G9" s="14">
        <v>0.16120999999999999</v>
      </c>
      <c r="H9" s="14">
        <v>0.40966999999999998</v>
      </c>
      <c r="I9" s="14">
        <v>0.28549999999999998</v>
      </c>
      <c r="J9" s="14">
        <v>0.11885999999999999</v>
      </c>
      <c r="K9" s="14">
        <v>3.007E-2</v>
      </c>
      <c r="L9" s="14">
        <v>1.0359999999999999E-2</v>
      </c>
      <c r="M9" s="14">
        <v>9.1500000000000001E-3</v>
      </c>
      <c r="N9" s="14">
        <v>9.9399999999999992E-3</v>
      </c>
      <c r="O9" s="14">
        <v>1.2600000000000001E-3</v>
      </c>
      <c r="P9" s="14">
        <v>1.81E-3</v>
      </c>
      <c r="Q9" s="14">
        <v>4.62E-3</v>
      </c>
      <c r="R9" s="14">
        <v>1.73E-3</v>
      </c>
      <c r="S9" s="14">
        <v>-1.8699999999999999E-3</v>
      </c>
      <c r="T9" s="14">
        <v>9.5E-4</v>
      </c>
      <c r="U9" s="14">
        <v>-1.3799999999999999E-3</v>
      </c>
      <c r="V9" s="14">
        <v>3.3E-4</v>
      </c>
      <c r="W9" s="14">
        <v>-1.5499999999999999E-3</v>
      </c>
      <c r="X9" s="14">
        <v>-9.7999999999999997E-4</v>
      </c>
      <c r="Y9" s="14">
        <v>6.8000000000000005E-4</v>
      </c>
      <c r="Z9" s="14">
        <v>1.3999999999999999E-4</v>
      </c>
      <c r="AA9" s="14">
        <v>9.3000000000000005E-4</v>
      </c>
      <c r="AB9" s="14">
        <v>-5.1999999999999995E-4</v>
      </c>
      <c r="AC9" s="14">
        <v>7.5000000000000002E-4</v>
      </c>
      <c r="AD9" s="14">
        <v>2.49E-3</v>
      </c>
    </row>
    <row r="10" spans="1:30">
      <c r="A10" s="14">
        <v>7.8192694842567648E-2</v>
      </c>
      <c r="C10" s="14" t="s">
        <v>152</v>
      </c>
      <c r="D10" s="14">
        <v>4.5999999999999999E-3</v>
      </c>
      <c r="E10" s="14">
        <v>1.3599999999999999E-2</v>
      </c>
      <c r="F10" s="14">
        <v>-1.01E-2</v>
      </c>
      <c r="G10" s="14">
        <v>3.0790000000000001E-2</v>
      </c>
      <c r="H10" s="14">
        <v>0.22403000000000001</v>
      </c>
      <c r="I10" s="14">
        <v>0.34882000000000002</v>
      </c>
      <c r="J10" s="14">
        <v>0.22151000000000001</v>
      </c>
      <c r="K10" s="14">
        <v>9.3369999999999995E-2</v>
      </c>
      <c r="L10" s="14">
        <v>3.2000000000000001E-2</v>
      </c>
      <c r="M10" s="14">
        <v>1.719E-2</v>
      </c>
      <c r="N10" s="14">
        <v>6.6E-3</v>
      </c>
      <c r="O10" s="14">
        <v>7.8100000000000001E-3</v>
      </c>
      <c r="P10" s="14">
        <v>8.1999999999999998E-4</v>
      </c>
      <c r="Q10" s="14">
        <v>2.6900000000000001E-3</v>
      </c>
      <c r="R10" s="14">
        <v>-6.2E-4</v>
      </c>
      <c r="S10" s="14">
        <v>2.5000000000000001E-3</v>
      </c>
      <c r="T10" s="14">
        <v>8.7000000000000001E-4</v>
      </c>
      <c r="U10" s="14">
        <v>6.0699999999999999E-3</v>
      </c>
      <c r="V10" s="14">
        <v>-4.6999999999999999E-4</v>
      </c>
      <c r="W10" s="14">
        <v>9.8999999999999999E-4</v>
      </c>
      <c r="X10" s="14">
        <v>4.8900000000000002E-3</v>
      </c>
      <c r="Y10" s="14">
        <v>1.1000000000000001E-3</v>
      </c>
      <c r="Z10" s="14">
        <v>1.2600000000000001E-3</v>
      </c>
      <c r="AA10" s="14">
        <v>5.5999999999999995E-4</v>
      </c>
      <c r="AB10" s="14">
        <v>2.99E-3</v>
      </c>
      <c r="AC10" s="14">
        <v>4.4900000000000001E-3</v>
      </c>
      <c r="AD10" s="14">
        <v>2.2000000000000001E-3</v>
      </c>
    </row>
    <row r="11" spans="1:30">
      <c r="A11" s="14">
        <v>5.2057894292361316E-2</v>
      </c>
      <c r="C11" s="14" t="s">
        <v>153</v>
      </c>
      <c r="D11" s="14">
        <v>9.8899999999999995E-3</v>
      </c>
      <c r="E11" s="14">
        <v>1.1000000000000001E-3</v>
      </c>
      <c r="F11" s="14">
        <v>1.128E-2</v>
      </c>
      <c r="G11" s="14">
        <v>2.111E-2</v>
      </c>
      <c r="H11" s="14">
        <v>9.0410000000000004E-2</v>
      </c>
      <c r="I11" s="14">
        <v>0.22800000000000001</v>
      </c>
      <c r="J11" s="14">
        <v>0.29343999999999998</v>
      </c>
      <c r="K11" s="14">
        <v>0.19389999999999999</v>
      </c>
      <c r="L11" s="14">
        <v>9.0450000000000003E-2</v>
      </c>
      <c r="M11" s="14">
        <v>1.566E-2</v>
      </c>
      <c r="N11" s="14">
        <v>3.5100000000000001E-3</v>
      </c>
      <c r="O11" s="14">
        <v>1.3500000000000001E-3</v>
      </c>
      <c r="P11" s="14">
        <v>7.3400000000000002E-3</v>
      </c>
      <c r="Q11" s="14">
        <v>3.7299999999999998E-3</v>
      </c>
      <c r="R11" s="14">
        <v>8.2500000000000004E-3</v>
      </c>
      <c r="S11" s="14">
        <v>5.6100000000000004E-3</v>
      </c>
      <c r="T11" s="14">
        <v>4.47E-3</v>
      </c>
      <c r="U11" s="14">
        <v>1.98E-3</v>
      </c>
      <c r="V11" s="14">
        <v>3.8400000000000001E-3</v>
      </c>
      <c r="W11" s="14">
        <v>-1.17E-3</v>
      </c>
      <c r="X11" s="14">
        <v>-1.5E-3</v>
      </c>
      <c r="Y11" s="14">
        <v>1.5E-3</v>
      </c>
      <c r="Z11" s="14">
        <v>1.5499999999999999E-3</v>
      </c>
      <c r="AA11" s="14">
        <v>1.01E-3</v>
      </c>
      <c r="AB11" s="14">
        <v>-5.6999999999999998E-4</v>
      </c>
      <c r="AC11" s="14">
        <v>-1.49E-3</v>
      </c>
      <c r="AD11" s="14">
        <v>1.357E-2</v>
      </c>
    </row>
    <row r="12" spans="1:30">
      <c r="A12" s="14">
        <v>4.0957747717210606E-2</v>
      </c>
      <c r="C12" s="14" t="s">
        <v>154</v>
      </c>
      <c r="D12" s="14">
        <v>-8.0000000000000004E-4</v>
      </c>
      <c r="E12" s="14">
        <v>-2.29E-2</v>
      </c>
      <c r="F12" s="14">
        <v>9.6100000000000005E-3</v>
      </c>
      <c r="G12" s="14">
        <v>7.6859999999999998E-2</v>
      </c>
      <c r="H12" s="14">
        <v>4.4819999999999999E-2</v>
      </c>
      <c r="I12" s="14">
        <v>0.16688</v>
      </c>
      <c r="J12" s="14">
        <v>0.21672</v>
      </c>
      <c r="K12" s="14">
        <v>0.20401</v>
      </c>
      <c r="L12" s="14">
        <v>0.13941000000000001</v>
      </c>
      <c r="M12" s="14">
        <v>7.9210000000000003E-2</v>
      </c>
      <c r="N12" s="14">
        <v>4.1200000000000001E-2</v>
      </c>
      <c r="O12" s="14">
        <v>5.5100000000000001E-3</v>
      </c>
      <c r="P12" s="14">
        <v>1.3860000000000001E-2</v>
      </c>
      <c r="Q12" s="14">
        <v>9.8099999999999993E-3</v>
      </c>
      <c r="R12" s="14">
        <v>6.0299999999999998E-3</v>
      </c>
      <c r="S12" s="14">
        <v>3.79E-3</v>
      </c>
      <c r="T12" s="14">
        <v>1.09E-3</v>
      </c>
      <c r="U12" s="14">
        <v>1.2999999999999999E-3</v>
      </c>
      <c r="V12" s="14">
        <v>6.8100000000000001E-3</v>
      </c>
      <c r="W12" s="14">
        <v>7.8100000000000001E-3</v>
      </c>
      <c r="X12" s="14">
        <v>9.5E-4</v>
      </c>
      <c r="Y12" s="14">
        <v>-1E-4</v>
      </c>
      <c r="Z12" s="14">
        <v>2.2000000000000001E-3</v>
      </c>
      <c r="AA12" s="14">
        <v>1.6299999999999999E-3</v>
      </c>
      <c r="AB12" s="14">
        <v>1.0200000000000001E-3</v>
      </c>
      <c r="AC12" s="14">
        <v>-2.33E-3</v>
      </c>
      <c r="AD12" s="14">
        <v>1.274E-2</v>
      </c>
    </row>
    <row r="13" spans="1:30">
      <c r="A13" s="14">
        <v>2.5895328914869568E-2</v>
      </c>
      <c r="C13" s="14" t="s">
        <v>155</v>
      </c>
      <c r="D13" s="14">
        <v>-1.197E-2</v>
      </c>
      <c r="E13" s="14">
        <v>3.2210000000000003E-2</v>
      </c>
      <c r="F13" s="14">
        <v>-5.5759999999999997E-2</v>
      </c>
      <c r="G13" s="14">
        <v>1.64E-3</v>
      </c>
      <c r="H13" s="14">
        <v>3.2620000000000003E-2</v>
      </c>
      <c r="I13" s="14">
        <v>8.8679999999999995E-2</v>
      </c>
      <c r="J13" s="14">
        <v>0.16084000000000001</v>
      </c>
      <c r="K13" s="14">
        <v>0.23330999999999999</v>
      </c>
      <c r="L13" s="14">
        <v>0.18479999999999999</v>
      </c>
      <c r="M13" s="14">
        <v>0.13355</v>
      </c>
      <c r="N13" s="14">
        <v>9.8140000000000005E-2</v>
      </c>
      <c r="O13" s="14">
        <v>4.6449999999999998E-2</v>
      </c>
      <c r="P13" s="14">
        <v>2.019E-2</v>
      </c>
      <c r="Q13" s="14">
        <v>1.146E-2</v>
      </c>
      <c r="R13" s="14">
        <v>1.0500000000000001E-2</v>
      </c>
      <c r="S13" s="14">
        <v>1.3699999999999999E-3</v>
      </c>
      <c r="T13" s="14">
        <v>-3.81E-3</v>
      </c>
      <c r="U13" s="14">
        <v>4.2199999999999998E-3</v>
      </c>
      <c r="V13" s="14">
        <v>-7.8499999999999993E-3</v>
      </c>
      <c r="W13" s="14">
        <v>-7.9900000000000006E-3</v>
      </c>
      <c r="X13" s="14">
        <v>-1.2099999999999999E-3</v>
      </c>
      <c r="Y13" s="14">
        <v>6.8000000000000005E-4</v>
      </c>
      <c r="Z13" s="14">
        <v>-1.23E-3</v>
      </c>
      <c r="AA13" s="14">
        <v>2.2200000000000002E-3</v>
      </c>
      <c r="AB13" s="14">
        <v>6.3000000000000003E-4</v>
      </c>
      <c r="AC13" s="14">
        <v>4.6600000000000001E-3</v>
      </c>
      <c r="AD13" s="14">
        <v>7.0099999999999997E-3</v>
      </c>
    </row>
    <row r="14" spans="1:30">
      <c r="A14" s="14">
        <v>2.2416627429566995E-2</v>
      </c>
      <c r="C14" s="14" t="s">
        <v>156</v>
      </c>
      <c r="D14" s="14">
        <v>-1.264E-2</v>
      </c>
      <c r="E14" s="14">
        <v>-3.4970000000000001E-2</v>
      </c>
      <c r="F14" s="14">
        <v>9.2310000000000003E-2</v>
      </c>
      <c r="G14" s="14">
        <v>-5.1929999999999997E-2</v>
      </c>
      <c r="H14" s="14">
        <v>3.2910000000000002E-2</v>
      </c>
      <c r="I14" s="14">
        <v>7.0290000000000005E-2</v>
      </c>
      <c r="J14" s="14">
        <v>0.12692999999999999</v>
      </c>
      <c r="K14" s="14">
        <v>0.13089000000000001</v>
      </c>
      <c r="L14" s="14">
        <v>0.14802999999999999</v>
      </c>
      <c r="M14" s="14">
        <v>0.14746000000000001</v>
      </c>
      <c r="N14" s="14">
        <v>0.11667</v>
      </c>
      <c r="O14" s="14">
        <v>7.9869999999999997E-2</v>
      </c>
      <c r="P14" s="14">
        <v>5.1979999999999998E-2</v>
      </c>
      <c r="Q14" s="14">
        <v>1.5520000000000001E-2</v>
      </c>
      <c r="R14" s="14">
        <v>1.247E-2</v>
      </c>
      <c r="S14" s="14">
        <v>1.6469999999999999E-2</v>
      </c>
      <c r="T14" s="14">
        <v>1.1299999999999999E-3</v>
      </c>
      <c r="U14" s="14">
        <v>7.1000000000000004E-3</v>
      </c>
      <c r="V14" s="14">
        <v>9.41E-3</v>
      </c>
      <c r="W14" s="14">
        <v>8.4100000000000008E-3</v>
      </c>
      <c r="X14" s="14">
        <v>5.1700000000000001E-3</v>
      </c>
      <c r="Y14" s="14">
        <v>2E-3</v>
      </c>
      <c r="Z14" s="14">
        <v>1.0499999999999999E-3</v>
      </c>
      <c r="AA14" s="14">
        <v>1.1299999999999999E-3</v>
      </c>
      <c r="AB14" s="14">
        <v>1.1299999999999999E-3</v>
      </c>
      <c r="AC14" s="14">
        <v>-6.13E-3</v>
      </c>
      <c r="AD14" s="14">
        <v>2.179E-2</v>
      </c>
    </row>
    <row r="15" spans="1:30">
      <c r="A15" s="14">
        <v>1.3803746632068606E-2</v>
      </c>
      <c r="C15" s="14" t="s">
        <v>157</v>
      </c>
      <c r="D15" s="14">
        <v>-2.2540000000000001E-2</v>
      </c>
      <c r="E15" s="14">
        <v>-2.3099999999999999E-2</v>
      </c>
      <c r="F15" s="14">
        <v>-5.2409999999999998E-2</v>
      </c>
      <c r="G15" s="14">
        <v>9.1130000000000003E-2</v>
      </c>
      <c r="H15" s="14">
        <v>0.13586999999999999</v>
      </c>
      <c r="I15" s="14">
        <v>8.1040000000000001E-2</v>
      </c>
      <c r="J15" s="14">
        <v>3.0620000000000001E-2</v>
      </c>
      <c r="K15" s="14">
        <v>7.3279999999999998E-2</v>
      </c>
      <c r="L15" s="14">
        <v>0.12236</v>
      </c>
      <c r="M15" s="14">
        <v>0.11033</v>
      </c>
      <c r="N15" s="14">
        <v>0.12089</v>
      </c>
      <c r="O15" s="14">
        <v>0.11074000000000001</v>
      </c>
      <c r="P15" s="14">
        <v>6.5629999999999994E-2</v>
      </c>
      <c r="Q15" s="14">
        <v>3.2680000000000001E-2</v>
      </c>
      <c r="R15" s="14">
        <v>1.9429999999999999E-2</v>
      </c>
      <c r="S15" s="14">
        <v>3.47E-3</v>
      </c>
      <c r="T15" s="14">
        <v>1.8500000000000001E-3</v>
      </c>
      <c r="U15" s="14">
        <v>1.221E-2</v>
      </c>
      <c r="V15" s="14">
        <v>1.848E-2</v>
      </c>
      <c r="W15" s="14">
        <v>4.7200000000000002E-3</v>
      </c>
      <c r="X15" s="14">
        <v>9.6000000000000002E-4</v>
      </c>
      <c r="Y15" s="14">
        <v>4.0999999999999999E-4</v>
      </c>
      <c r="Z15" s="14">
        <v>7.2000000000000005E-4</v>
      </c>
      <c r="AA15" s="14">
        <v>7.2999999999999996E-4</v>
      </c>
      <c r="AB15" s="14">
        <v>1.98E-3</v>
      </c>
      <c r="AC15" s="14">
        <v>1.3089999999999999E-2</v>
      </c>
      <c r="AD15" s="14">
        <v>2.0240000000000001E-2</v>
      </c>
    </row>
    <row r="16" spans="1:30">
      <c r="A16" s="14">
        <v>1.3232253937110352E-2</v>
      </c>
      <c r="C16" s="14" t="s">
        <v>158</v>
      </c>
      <c r="D16" s="14">
        <v>-8.9480000000000004E-2</v>
      </c>
      <c r="E16" s="14">
        <v>-5.2389999999999999E-2</v>
      </c>
      <c r="F16" s="14">
        <v>2.1329999999999998E-2</v>
      </c>
      <c r="G16" s="14">
        <v>8.9499999999999996E-2</v>
      </c>
      <c r="H16" s="14">
        <v>-1.1690000000000001E-2</v>
      </c>
      <c r="I16" s="14">
        <v>6.08E-2</v>
      </c>
      <c r="J16" s="14">
        <v>0.13203999999999999</v>
      </c>
      <c r="K16" s="14">
        <v>0.16409000000000001</v>
      </c>
      <c r="L16" s="14">
        <v>0.13955000000000001</v>
      </c>
      <c r="M16" s="14">
        <v>0.14396999999999999</v>
      </c>
      <c r="N16" s="14">
        <v>0.10609</v>
      </c>
      <c r="O16" s="14">
        <v>6.3839999999999994E-2</v>
      </c>
      <c r="P16" s="14">
        <v>6.9019999999999998E-2</v>
      </c>
      <c r="Q16" s="14">
        <v>1.753E-2</v>
      </c>
      <c r="R16" s="14">
        <v>3.5139999999999998E-2</v>
      </c>
      <c r="S16" s="14">
        <v>1.184E-2</v>
      </c>
      <c r="T16" s="14">
        <v>9.2599999999999991E-3</v>
      </c>
      <c r="U16" s="14">
        <v>1.4E-2</v>
      </c>
      <c r="V16" s="14">
        <v>-7.5399999999999998E-3</v>
      </c>
      <c r="W16" s="14">
        <v>2.1680000000000001E-2</v>
      </c>
      <c r="X16" s="14">
        <v>3.8800000000000002E-3</v>
      </c>
      <c r="Y16" s="14">
        <v>5.5999999999999995E-4</v>
      </c>
      <c r="Z16" s="14">
        <v>-5.1000000000000004E-4</v>
      </c>
      <c r="AA16" s="14">
        <v>-3.3E-4</v>
      </c>
      <c r="AB16" s="14">
        <v>4.7000000000000002E-3</v>
      </c>
      <c r="AC16" s="14">
        <v>1.8000000000000001E-4</v>
      </c>
      <c r="AD16" s="14">
        <v>-6.0999999999999997E-4</v>
      </c>
    </row>
    <row r="17" spans="1:30">
      <c r="A17" s="14">
        <v>8.3271344500192614E-3</v>
      </c>
      <c r="C17" s="14" t="s">
        <v>159</v>
      </c>
      <c r="D17" s="14">
        <v>-2.0100000000000001E-3</v>
      </c>
      <c r="E17" s="14">
        <v>-9.0200000000000002E-2</v>
      </c>
      <c r="F17" s="14">
        <v>-6.8190000000000001E-2</v>
      </c>
      <c r="G17" s="14">
        <v>4.9070000000000003E-2</v>
      </c>
      <c r="H17" s="14">
        <v>5.1790000000000003E-2</v>
      </c>
      <c r="I17" s="14">
        <v>0.14466999999999999</v>
      </c>
      <c r="J17" s="14">
        <v>8.448E-2</v>
      </c>
      <c r="K17" s="14">
        <v>9.6339999999999995E-2</v>
      </c>
      <c r="L17" s="14">
        <v>5.638E-2</v>
      </c>
      <c r="M17" s="14">
        <v>5.824E-2</v>
      </c>
      <c r="N17" s="14">
        <v>9.5979999999999996E-2</v>
      </c>
      <c r="O17" s="14">
        <v>9.7970000000000002E-2</v>
      </c>
      <c r="P17" s="14">
        <v>5.9400000000000001E-2</v>
      </c>
      <c r="Q17" s="14">
        <v>5.3469999999999997E-2</v>
      </c>
      <c r="R17" s="14">
        <v>7.3469999999999994E-2</v>
      </c>
      <c r="S17" s="14">
        <v>2.64E-2</v>
      </c>
      <c r="T17" s="14">
        <v>1.7330000000000002E-2</v>
      </c>
      <c r="U17" s="14">
        <v>-2.3E-3</v>
      </c>
      <c r="V17" s="14">
        <v>3.243E-2</v>
      </c>
      <c r="W17" s="14">
        <v>-1.359E-2</v>
      </c>
      <c r="X17" s="14">
        <v>6.7099999999999998E-3</v>
      </c>
      <c r="Y17" s="14">
        <v>2.3600000000000001E-3</v>
      </c>
      <c r="Z17" s="14">
        <v>3.2799999999999999E-3</v>
      </c>
      <c r="AA17" s="14">
        <v>-1.25E-3</v>
      </c>
      <c r="AB17" s="14">
        <v>9.3000000000000005E-4</v>
      </c>
      <c r="AC17" s="14">
        <v>-1.5100000000000001E-3</v>
      </c>
      <c r="AD17" s="14">
        <v>2.3460000000000002E-2</v>
      </c>
    </row>
    <row r="18" spans="1:30">
      <c r="A18" s="14">
        <v>8.3826641045901037E-3</v>
      </c>
      <c r="C18" s="14" t="s">
        <v>160</v>
      </c>
      <c r="D18" s="14">
        <v>3.5999999999999999E-3</v>
      </c>
      <c r="E18" s="14">
        <v>-2.5000000000000001E-2</v>
      </c>
      <c r="F18" s="14">
        <v>3.4380000000000001E-2</v>
      </c>
      <c r="G18" s="14">
        <v>-1.1610000000000001E-2</v>
      </c>
      <c r="H18" s="14">
        <v>-4.1000000000000002E-2</v>
      </c>
      <c r="I18" s="14">
        <v>8.6199999999999999E-2</v>
      </c>
      <c r="J18" s="14">
        <v>5.1799999999999999E-2</v>
      </c>
      <c r="K18" s="14">
        <v>9.4289999999999999E-2</v>
      </c>
      <c r="L18" s="14">
        <v>0.11151999999999999</v>
      </c>
      <c r="M18" s="14">
        <v>0.1232</v>
      </c>
      <c r="N18" s="14">
        <v>6.5310000000000007E-2</v>
      </c>
      <c r="O18" s="14">
        <v>9.8030000000000006E-2</v>
      </c>
      <c r="P18" s="14">
        <v>4.1419999999999998E-2</v>
      </c>
      <c r="Q18" s="14">
        <v>3.5000000000000003E-2</v>
      </c>
      <c r="R18" s="14">
        <v>5.4140000000000001E-2</v>
      </c>
      <c r="S18" s="14">
        <v>6.0299999999999999E-2</v>
      </c>
      <c r="T18" s="14">
        <v>9.5399999999999999E-3</v>
      </c>
      <c r="U18" s="14">
        <v>2.0670000000000001E-2</v>
      </c>
      <c r="V18" s="14">
        <v>2.3550000000000001E-2</v>
      </c>
      <c r="W18" s="14">
        <v>3.3939999999999998E-2</v>
      </c>
      <c r="X18" s="14">
        <v>1.333E-2</v>
      </c>
      <c r="Y18" s="14">
        <v>2.2499999999999998E-3</v>
      </c>
      <c r="Z18" s="14">
        <v>-1.6199999999999999E-3</v>
      </c>
      <c r="AA18" s="14">
        <v>7.5000000000000002E-4</v>
      </c>
      <c r="AB18" s="14">
        <v>4.2999999999999999E-4</v>
      </c>
      <c r="AC18" s="14">
        <v>1.342E-2</v>
      </c>
      <c r="AD18" s="14">
        <v>5.7549999999999997E-2</v>
      </c>
    </row>
    <row r="19" spans="1:30">
      <c r="A19" s="14">
        <v>5.5124750839596805E-3</v>
      </c>
      <c r="C19" s="14" t="s">
        <v>161</v>
      </c>
      <c r="D19" s="14">
        <v>-2.4060000000000002E-2</v>
      </c>
      <c r="E19" s="14">
        <v>-6.0389999999999999E-2</v>
      </c>
      <c r="F19" s="14">
        <v>-5.8950000000000002E-2</v>
      </c>
      <c r="G19" s="14">
        <v>-2.0809999999999999E-2</v>
      </c>
      <c r="H19" s="14">
        <v>0.12798999999999999</v>
      </c>
      <c r="I19" s="14">
        <v>4.1110000000000001E-2</v>
      </c>
      <c r="J19" s="14">
        <v>0.14154</v>
      </c>
      <c r="K19" s="14">
        <v>8.1140000000000004E-2</v>
      </c>
      <c r="L19" s="14">
        <v>3.8170000000000003E-2</v>
      </c>
      <c r="M19" s="14">
        <v>0.10062</v>
      </c>
      <c r="N19" s="14">
        <v>8.362E-2</v>
      </c>
      <c r="O19" s="14">
        <v>3.6540000000000003E-2</v>
      </c>
      <c r="P19" s="14">
        <v>7.0279999999999995E-2</v>
      </c>
      <c r="Q19" s="14">
        <v>5.5550000000000002E-2</v>
      </c>
      <c r="R19" s="14">
        <v>6.8309999999999996E-2</v>
      </c>
      <c r="S19" s="14">
        <v>4.1110000000000001E-2</v>
      </c>
      <c r="T19" s="14">
        <v>1.1270000000000001E-2</v>
      </c>
      <c r="U19" s="14">
        <v>4.15E-3</v>
      </c>
      <c r="V19" s="14">
        <v>3.7399999999999998E-3</v>
      </c>
      <c r="W19" s="14">
        <v>9.4999999999999998E-3</v>
      </c>
      <c r="X19" s="14">
        <v>3.9100000000000003E-3</v>
      </c>
      <c r="Y19" s="14">
        <v>2.8E-3</v>
      </c>
      <c r="Z19" s="14">
        <v>4.0499999999999998E-3</v>
      </c>
      <c r="AA19" s="14">
        <v>3.3500000000000001E-3</v>
      </c>
      <c r="AB19" s="14">
        <v>7.2100000000000003E-3</v>
      </c>
      <c r="AC19" s="14">
        <v>2.1780000000000001E-2</v>
      </c>
      <c r="AD19" s="14">
        <v>4.829E-2</v>
      </c>
    </row>
    <row r="20" spans="1:30">
      <c r="A20" s="14">
        <v>5.7889664890103344E-3</v>
      </c>
      <c r="C20" s="14" t="s">
        <v>162</v>
      </c>
      <c r="D20" s="14">
        <v>-0.13195999999999999</v>
      </c>
      <c r="E20" s="14">
        <v>5.7020000000000001E-2</v>
      </c>
      <c r="F20" s="14">
        <v>-1.7899999999999999E-2</v>
      </c>
      <c r="G20" s="14">
        <v>7.5230000000000005E-2</v>
      </c>
      <c r="H20" s="14">
        <v>4.7870000000000003E-2</v>
      </c>
      <c r="I20" s="14">
        <v>-2.555E-2</v>
      </c>
      <c r="J20" s="14">
        <v>6.8029999999999993E-2</v>
      </c>
      <c r="K20" s="14">
        <v>9.2560000000000003E-2</v>
      </c>
      <c r="L20" s="14">
        <v>8.5099999999999995E-2</v>
      </c>
      <c r="M20" s="14">
        <v>6.6339999999999996E-2</v>
      </c>
      <c r="N20" s="14">
        <v>4.6510000000000003E-2</v>
      </c>
      <c r="O20" s="14">
        <v>7.2650000000000006E-2</v>
      </c>
      <c r="P20" s="14">
        <v>6.7799999999999999E-2</v>
      </c>
      <c r="Q20" s="14">
        <v>3.7600000000000001E-2</v>
      </c>
      <c r="R20" s="14">
        <v>6.3439999999999996E-2</v>
      </c>
      <c r="S20" s="14">
        <v>5.0049999999999997E-2</v>
      </c>
      <c r="T20" s="14">
        <v>1.3690000000000001E-2</v>
      </c>
      <c r="U20" s="14">
        <v>2.4340000000000001E-2</v>
      </c>
      <c r="V20" s="14">
        <v>3.4200000000000001E-2</v>
      </c>
      <c r="W20" s="14">
        <v>5.33E-2</v>
      </c>
      <c r="X20" s="14">
        <v>1.468E-2</v>
      </c>
      <c r="Y20" s="14">
        <v>1.2999999999999999E-4</v>
      </c>
      <c r="Z20" s="14">
        <v>2.7999999999999998E-4</v>
      </c>
      <c r="AA20" s="14">
        <v>9.1E-4</v>
      </c>
      <c r="AB20" s="14">
        <v>-7.1999999999999998E-3</v>
      </c>
      <c r="AC20" s="14">
        <v>4.8700000000000002E-3</v>
      </c>
      <c r="AD20" s="14">
        <v>4.0590000000000001E-2</v>
      </c>
    </row>
    <row r="21" spans="1:30">
      <c r="A21" s="14">
        <v>3.9842527154579522E-3</v>
      </c>
      <c r="C21" s="14" t="s">
        <v>163</v>
      </c>
      <c r="D21" s="14">
        <v>-3.6069999999999998E-2</v>
      </c>
      <c r="E21" s="14">
        <v>-0.14876</v>
      </c>
      <c r="F21" s="14">
        <v>-3.7539999999999997E-2</v>
      </c>
      <c r="G21" s="14">
        <v>1.9869999999999999E-2</v>
      </c>
      <c r="H21" s="14">
        <v>7.5160000000000005E-2</v>
      </c>
      <c r="I21" s="14">
        <v>7.5029999999999999E-2</v>
      </c>
      <c r="J21" s="14">
        <v>0.11033999999999999</v>
      </c>
      <c r="K21" s="14">
        <v>7.4289999999999995E-2</v>
      </c>
      <c r="L21" s="14">
        <v>6.4519999999999994E-2</v>
      </c>
      <c r="M21" s="14">
        <v>4.8300000000000003E-2</v>
      </c>
      <c r="N21" s="14">
        <v>9.1170000000000001E-2</v>
      </c>
      <c r="O21" s="14">
        <v>4.4609999999999997E-2</v>
      </c>
      <c r="P21" s="14">
        <v>4.3610000000000003E-2</v>
      </c>
      <c r="Q21" s="14">
        <v>6.5579999999999999E-2</v>
      </c>
      <c r="R21" s="14">
        <v>2.6679999999999999E-2</v>
      </c>
      <c r="S21" s="14">
        <v>2.6270000000000002E-2</v>
      </c>
      <c r="T21" s="14">
        <v>1.7919999999999998E-2</v>
      </c>
      <c r="U21" s="14">
        <v>1.6330000000000001E-2</v>
      </c>
      <c r="V21" s="14">
        <v>6.4079999999999998E-2</v>
      </c>
      <c r="W21" s="14">
        <v>7.0260000000000003E-2</v>
      </c>
      <c r="X21" s="14">
        <v>-4.0999999999999999E-4</v>
      </c>
      <c r="Y21" s="14">
        <v>5.0000000000000002E-5</v>
      </c>
      <c r="Z21" s="14">
        <v>-1.89E-3</v>
      </c>
      <c r="AA21" s="14">
        <v>4.47E-3</v>
      </c>
      <c r="AB21" s="14">
        <v>1.227E-2</v>
      </c>
      <c r="AC21" s="14">
        <v>4.4040000000000003E-2</v>
      </c>
      <c r="AD21" s="14">
        <v>4.3499999999999997E-3</v>
      </c>
    </row>
    <row r="22" spans="1:30">
      <c r="A22" s="14">
        <v>4.2503323102765726E-3</v>
      </c>
      <c r="C22" s="14" t="s">
        <v>164</v>
      </c>
      <c r="D22" s="14">
        <v>-7.8619999999999995E-2</v>
      </c>
      <c r="E22" s="14">
        <v>-0.10306</v>
      </c>
      <c r="F22" s="14">
        <v>4.7320000000000001E-2</v>
      </c>
      <c r="G22" s="14">
        <v>4.2810000000000001E-2</v>
      </c>
      <c r="H22" s="14">
        <v>2.5329999999999998E-2</v>
      </c>
      <c r="I22" s="14">
        <v>1.5779999999999999E-2</v>
      </c>
      <c r="J22" s="14">
        <v>0.10395</v>
      </c>
      <c r="K22" s="14">
        <v>7.2419999999999998E-2</v>
      </c>
      <c r="L22" s="14">
        <v>7.8280000000000002E-2</v>
      </c>
      <c r="M22" s="14">
        <v>7.5069999999999998E-2</v>
      </c>
      <c r="N22" s="14">
        <v>5.858E-2</v>
      </c>
      <c r="O22" s="14">
        <v>5.1310000000000001E-2</v>
      </c>
      <c r="P22" s="14">
        <v>5.824E-2</v>
      </c>
      <c r="Q22" s="14">
        <v>3.1220000000000001E-2</v>
      </c>
      <c r="R22" s="14">
        <v>4.7260000000000003E-2</v>
      </c>
      <c r="S22" s="14">
        <v>3.909E-2</v>
      </c>
      <c r="T22" s="14">
        <v>2.266E-2</v>
      </c>
      <c r="U22" s="14">
        <v>3.1600000000000003E-2</v>
      </c>
      <c r="V22" s="14">
        <v>6.216E-2</v>
      </c>
      <c r="W22" s="14">
        <v>8.3290000000000003E-2</v>
      </c>
      <c r="X22" s="14">
        <v>1.1010000000000001E-2</v>
      </c>
      <c r="Y22" s="14">
        <v>1.2199999999999999E-3</v>
      </c>
      <c r="Z22" s="14">
        <v>1.73E-3</v>
      </c>
      <c r="AA22" s="14">
        <v>1.49E-3</v>
      </c>
      <c r="AB22" s="14">
        <v>6.6699999999999997E-3</v>
      </c>
      <c r="AC22" s="14">
        <v>1.58E-3</v>
      </c>
      <c r="AD22" s="14">
        <v>3.7010000000000001E-2</v>
      </c>
    </row>
    <row r="23" spans="1:30">
      <c r="A23" s="14">
        <v>2.9743071229507531E-3</v>
      </c>
      <c r="C23" s="14" t="s">
        <v>165</v>
      </c>
      <c r="D23" s="14">
        <v>-4.5469999999999997E-2</v>
      </c>
      <c r="E23" s="14">
        <v>-5.5259999999999997E-2</v>
      </c>
      <c r="F23" s="14">
        <v>-4.3709999999999999E-2</v>
      </c>
      <c r="G23" s="14">
        <v>-6.1039999999999997E-2</v>
      </c>
      <c r="H23" s="14">
        <v>5.9299999999999999E-2</v>
      </c>
      <c r="I23" s="14">
        <v>9.2609999999999998E-2</v>
      </c>
      <c r="J23" s="14">
        <v>0.10765</v>
      </c>
      <c r="K23" s="14">
        <v>5.5500000000000001E-2</v>
      </c>
      <c r="L23" s="14">
        <v>2.9420000000000002E-2</v>
      </c>
      <c r="M23" s="14">
        <v>5.5109999999999999E-2</v>
      </c>
      <c r="N23" s="14">
        <v>1.8929999999999999E-2</v>
      </c>
      <c r="O23" s="14">
        <v>4.1189999999999997E-2</v>
      </c>
      <c r="P23" s="14">
        <v>2.368E-2</v>
      </c>
      <c r="Q23" s="14">
        <v>3.8490000000000003E-2</v>
      </c>
      <c r="R23" s="14">
        <v>4.1149999999999999E-2</v>
      </c>
      <c r="S23" s="14">
        <v>3.1579999999999997E-2</v>
      </c>
      <c r="T23" s="14">
        <v>1.553E-2</v>
      </c>
      <c r="U23" s="14">
        <v>1.8360000000000001E-2</v>
      </c>
      <c r="V23" s="14">
        <v>4.9829999999999999E-2</v>
      </c>
      <c r="W23" s="14">
        <v>8.0110000000000001E-2</v>
      </c>
      <c r="X23" s="14">
        <v>2.0719999999999999E-2</v>
      </c>
      <c r="Y23" s="14">
        <v>1.5399999999999999E-3</v>
      </c>
      <c r="Z23" s="14">
        <v>2.0500000000000002E-3</v>
      </c>
      <c r="AA23" s="14">
        <v>-2.7999999999999998E-4</v>
      </c>
      <c r="AB23" s="14">
        <v>7.0800000000000004E-3</v>
      </c>
      <c r="AC23" s="14">
        <v>3.1109999999999999E-2</v>
      </c>
      <c r="AD23" s="14">
        <v>6.1100000000000002E-2</v>
      </c>
    </row>
    <row r="24" spans="1:30">
      <c r="A24" s="14">
        <v>3.4116031526961383E-3</v>
      </c>
      <c r="C24" s="14" t="s">
        <v>166</v>
      </c>
      <c r="D24" s="14">
        <v>-4.7E-2</v>
      </c>
      <c r="E24" s="14">
        <v>-0.12025</v>
      </c>
      <c r="F24" s="14">
        <v>-4.5960000000000001E-2</v>
      </c>
      <c r="G24" s="14">
        <v>1.397E-2</v>
      </c>
      <c r="H24" s="14">
        <v>0.13611000000000001</v>
      </c>
      <c r="I24" s="14">
        <v>3.015E-2</v>
      </c>
      <c r="J24" s="14">
        <v>6.9529999999999995E-2</v>
      </c>
      <c r="K24" s="14">
        <v>5.3940000000000002E-2</v>
      </c>
      <c r="L24" s="14">
        <v>4.0189999999999997E-2</v>
      </c>
      <c r="M24" s="14">
        <v>5.3150000000000003E-2</v>
      </c>
      <c r="N24" s="14">
        <v>3.4770000000000002E-2</v>
      </c>
      <c r="O24" s="14">
        <v>1.255E-2</v>
      </c>
      <c r="P24" s="14">
        <v>5.8130000000000001E-2</v>
      </c>
      <c r="Q24" s="14">
        <v>4.5539999999999997E-2</v>
      </c>
      <c r="R24" s="14">
        <v>4.6449999999999998E-2</v>
      </c>
      <c r="S24" s="14">
        <v>2.4549999999999999E-2</v>
      </c>
      <c r="T24" s="14">
        <v>2.027E-2</v>
      </c>
      <c r="U24" s="14">
        <v>2.4510000000000001E-2</v>
      </c>
      <c r="V24" s="14">
        <v>6.4530000000000004E-2</v>
      </c>
      <c r="W24" s="14">
        <v>3.5929999999999997E-2</v>
      </c>
      <c r="X24" s="14">
        <v>1.112E-2</v>
      </c>
      <c r="Y24" s="14">
        <v>5.1799999999999997E-3</v>
      </c>
      <c r="Z24" s="14">
        <v>2.82E-3</v>
      </c>
      <c r="AA24" s="14">
        <v>-1.2999999999999999E-4</v>
      </c>
      <c r="AB24" s="14">
        <v>1.745E-2</v>
      </c>
      <c r="AC24" s="14">
        <v>4.1509999999999998E-2</v>
      </c>
      <c r="AD24" s="14">
        <v>4.2180000000000002E-2</v>
      </c>
    </row>
    <row r="25" spans="1:30">
      <c r="A25" s="14">
        <v>3.1952688734305642E-3</v>
      </c>
      <c r="C25" s="14" t="s">
        <v>167</v>
      </c>
      <c r="D25" s="14">
        <v>-9.5119999999999996E-2</v>
      </c>
      <c r="E25" s="14">
        <v>-0.1421</v>
      </c>
      <c r="F25" s="14">
        <v>-0.10763</v>
      </c>
      <c r="G25" s="14">
        <v>5.9270000000000003E-2</v>
      </c>
      <c r="H25" s="14">
        <v>8.4580000000000002E-2</v>
      </c>
      <c r="I25" s="14">
        <v>0.24249999999999999</v>
      </c>
      <c r="J25" s="14">
        <v>7.0730000000000001E-2</v>
      </c>
      <c r="K25" s="14">
        <v>3.9800000000000002E-2</v>
      </c>
      <c r="L25" s="14">
        <v>5.491E-2</v>
      </c>
      <c r="M25" s="14">
        <v>8.4199999999999997E-2</v>
      </c>
      <c r="N25" s="14">
        <v>6.139E-2</v>
      </c>
      <c r="O25" s="14">
        <v>7.3999999999999996E-2</v>
      </c>
      <c r="P25" s="14">
        <v>6.0470000000000003E-2</v>
      </c>
      <c r="Q25" s="14">
        <v>9.8979999999999999E-2</v>
      </c>
      <c r="R25" s="14">
        <v>3.7679999999999998E-2</v>
      </c>
      <c r="S25" s="14">
        <v>7.9670000000000005E-2</v>
      </c>
      <c r="T25" s="14">
        <v>2.1409999999999998E-2</v>
      </c>
      <c r="U25" s="14">
        <v>1.5650000000000001E-2</v>
      </c>
      <c r="V25" s="14">
        <v>5.4799999999999996E-3</v>
      </c>
      <c r="W25" s="14">
        <v>4.351E-2</v>
      </c>
      <c r="X25" s="14">
        <v>1.272E-2</v>
      </c>
      <c r="Y25" s="14">
        <v>3.47E-3</v>
      </c>
      <c r="Z25" s="14">
        <v>4.9300000000000004E-3</v>
      </c>
      <c r="AA25" s="14">
        <v>6.0000000000000001E-3</v>
      </c>
      <c r="AB25" s="14">
        <v>2.4199999999999999E-2</v>
      </c>
      <c r="AC25" s="14">
        <v>3.8080000000000003E-2</v>
      </c>
      <c r="AD25" s="14">
        <v>1.9050000000000001E-2</v>
      </c>
    </row>
    <row r="26" spans="1:30">
      <c r="A26" s="14">
        <v>3.0691702828426091E-3</v>
      </c>
      <c r="C26" s="14" t="s">
        <v>168</v>
      </c>
      <c r="D26" s="14">
        <v>-0.10217</v>
      </c>
      <c r="E26" s="14">
        <v>-5.4730000000000001E-2</v>
      </c>
      <c r="F26" s="14">
        <v>0.16322999999999999</v>
      </c>
      <c r="G26" s="14">
        <v>-7.7090000000000006E-2</v>
      </c>
      <c r="H26" s="14">
        <v>-2.266E-2</v>
      </c>
      <c r="I26" s="14">
        <v>-1.6920000000000001E-2</v>
      </c>
      <c r="J26" s="14">
        <v>4.5699999999999998E-2</v>
      </c>
      <c r="K26" s="14">
        <v>5.1499999999999997E-2</v>
      </c>
      <c r="L26" s="14">
        <v>6.5769999999999995E-2</v>
      </c>
      <c r="M26" s="14">
        <v>1.2670000000000001E-2</v>
      </c>
      <c r="N26" s="14">
        <v>6.2149999999999997E-2</v>
      </c>
      <c r="O26" s="14">
        <v>6.7650000000000002E-2</v>
      </c>
      <c r="P26" s="14">
        <v>0.10352</v>
      </c>
      <c r="Q26" s="14">
        <v>4.1770000000000002E-2</v>
      </c>
      <c r="R26" s="14">
        <v>7.1900000000000006E-2</v>
      </c>
      <c r="S26" s="14">
        <v>6.0040000000000003E-2</v>
      </c>
      <c r="T26" s="14">
        <v>1.7219999999999999E-2</v>
      </c>
      <c r="U26" s="14">
        <v>4.3339999999999997E-2</v>
      </c>
      <c r="V26" s="14">
        <v>1.8190000000000001E-2</v>
      </c>
      <c r="W26" s="14">
        <v>9.4869999999999996E-2</v>
      </c>
      <c r="X26" s="14">
        <v>1.125E-2</v>
      </c>
      <c r="Y26" s="14">
        <v>8.3000000000000001E-4</v>
      </c>
      <c r="Z26" s="14">
        <v>1.89E-3</v>
      </c>
      <c r="AA26" s="14">
        <v>7.3999999999999999E-4</v>
      </c>
      <c r="AB26" s="14">
        <v>1.112E-2</v>
      </c>
      <c r="AC26" s="14">
        <v>4.7940000000000003E-2</v>
      </c>
      <c r="AD26" s="14">
        <v>6.1219999999999997E-2</v>
      </c>
    </row>
    <row r="27" spans="1:30">
      <c r="A27" s="14">
        <v>2.8967969801122857E-3</v>
      </c>
      <c r="C27" s="14" t="s">
        <v>169</v>
      </c>
      <c r="D27" s="14">
        <v>-2.826E-2</v>
      </c>
      <c r="E27" s="14">
        <v>3.2799999999999999E-3</v>
      </c>
      <c r="F27" s="14">
        <v>-7.8939999999999996E-2</v>
      </c>
      <c r="G27" s="14">
        <v>-2.0289999999999999E-2</v>
      </c>
      <c r="H27" s="14">
        <v>3.4979999999999997E-2</v>
      </c>
      <c r="I27" s="14">
        <v>5.8119999999999998E-2</v>
      </c>
      <c r="J27" s="14">
        <v>2.1180000000000001E-2</v>
      </c>
      <c r="K27" s="14">
        <v>6.454E-2</v>
      </c>
      <c r="L27" s="14">
        <v>2.3449999999999999E-2</v>
      </c>
      <c r="M27" s="14">
        <v>6.9389999999999993E-2</v>
      </c>
      <c r="N27" s="14">
        <v>4.7370000000000002E-2</v>
      </c>
      <c r="O27" s="14">
        <v>1.66E-2</v>
      </c>
      <c r="P27" s="14">
        <v>3.7940000000000002E-2</v>
      </c>
      <c r="Q27" s="14">
        <v>-8.3700000000000007E-3</v>
      </c>
      <c r="R27" s="14">
        <v>1.2279999999999999E-2</v>
      </c>
      <c r="S27" s="14">
        <v>2.9499999999999999E-3</v>
      </c>
      <c r="T27" s="14">
        <v>8.6599999999999993E-3</v>
      </c>
      <c r="U27" s="14">
        <v>8.1700000000000002E-3</v>
      </c>
      <c r="V27" s="14">
        <v>1.7829999999999999E-2</v>
      </c>
      <c r="W27" s="14">
        <v>2.5989999999999999E-2</v>
      </c>
      <c r="X27" s="14">
        <v>6.5199999999999998E-3</v>
      </c>
      <c r="Y27" s="14">
        <v>8.5999999999999998E-4</v>
      </c>
      <c r="Z27" s="14">
        <v>5.5599999999999998E-3</v>
      </c>
      <c r="AA27" s="14">
        <v>1.1199999999999999E-3</v>
      </c>
      <c r="AB27" s="14">
        <v>2.9000000000000001E-2</v>
      </c>
      <c r="AC27" s="14">
        <v>3.211E-2</v>
      </c>
      <c r="AD27" s="14">
        <v>5.1679999999999997E-2</v>
      </c>
    </row>
    <row r="28" spans="1:30">
      <c r="A28" s="14">
        <v>2.6249330462758689E-3</v>
      </c>
      <c r="C28" s="14" t="s">
        <v>170</v>
      </c>
      <c r="D28" s="14">
        <v>-2.8400000000000001E-3</v>
      </c>
      <c r="E28" s="14">
        <v>-5.1790000000000003E-2</v>
      </c>
      <c r="F28" s="14">
        <v>-0.1938</v>
      </c>
      <c r="G28" s="14">
        <v>3.0419999999999999E-2</v>
      </c>
      <c r="H28" s="14">
        <v>2.18E-2</v>
      </c>
      <c r="I28" s="14">
        <v>3.7229999999999999E-2</v>
      </c>
      <c r="J28" s="14">
        <v>1.345E-2</v>
      </c>
      <c r="K28" s="14">
        <v>5.9339999999999997E-2</v>
      </c>
      <c r="L28" s="14">
        <v>6.9989999999999997E-2</v>
      </c>
      <c r="M28" s="14">
        <v>4.4179999999999997E-2</v>
      </c>
      <c r="N28" s="14">
        <v>6.8640000000000007E-2</v>
      </c>
      <c r="O28" s="14">
        <v>4.5719999999999997E-2</v>
      </c>
      <c r="P28" s="14">
        <v>3.483E-2</v>
      </c>
      <c r="Q28" s="14">
        <v>4.512E-2</v>
      </c>
      <c r="R28" s="14">
        <v>5.645E-2</v>
      </c>
      <c r="S28" s="14">
        <v>2.6790000000000001E-2</v>
      </c>
      <c r="T28" s="14">
        <v>1.093E-2</v>
      </c>
      <c r="U28" s="14">
        <v>1.498E-2</v>
      </c>
      <c r="V28" s="14">
        <v>4.9250000000000002E-2</v>
      </c>
      <c r="W28" s="14">
        <v>3.9849999999999997E-2</v>
      </c>
      <c r="X28" s="14">
        <v>2.2759999999999999E-2</v>
      </c>
      <c r="Y28" s="14">
        <v>-1.0200000000000001E-3</v>
      </c>
      <c r="Z28" s="14">
        <v>1.6000000000000001E-4</v>
      </c>
      <c r="AA28" s="14">
        <v>-2.0100000000000001E-3</v>
      </c>
      <c r="AB28" s="14">
        <v>-6.2E-4</v>
      </c>
      <c r="AC28" s="14">
        <v>2.8060000000000002E-2</v>
      </c>
      <c r="AD28" s="14">
        <v>7.1999999999999998E-3</v>
      </c>
    </row>
    <row r="29" spans="1:30">
      <c r="A29" s="14">
        <v>1.8891651232122054E-3</v>
      </c>
      <c r="C29" s="14" t="s">
        <v>171</v>
      </c>
      <c r="D29" s="14">
        <v>0.14992</v>
      </c>
      <c r="E29" s="14">
        <v>-0.20701</v>
      </c>
      <c r="F29" s="14">
        <v>-4.9450000000000001E-2</v>
      </c>
      <c r="G29" s="14">
        <v>-9.8659999999999998E-2</v>
      </c>
      <c r="H29" s="14">
        <v>-0.10668999999999999</v>
      </c>
      <c r="I29" s="14">
        <v>-2.5059999999999999E-2</v>
      </c>
      <c r="J29" s="14">
        <v>0.14924999999999999</v>
      </c>
      <c r="K29" s="14">
        <v>0.10768999999999999</v>
      </c>
      <c r="L29" s="14">
        <v>0.13159000000000001</v>
      </c>
      <c r="M29" s="14">
        <v>2.845E-2</v>
      </c>
      <c r="N29" s="14">
        <v>8.0100000000000005E-2</v>
      </c>
      <c r="O29" s="14">
        <v>2.3290000000000002E-2</v>
      </c>
      <c r="P29" s="14">
        <v>3.6679999999999997E-2</v>
      </c>
      <c r="Q29" s="14">
        <v>3.4509999999999999E-2</v>
      </c>
      <c r="R29" s="14">
        <v>2.9350000000000001E-2</v>
      </c>
      <c r="S29" s="14">
        <v>3.5130000000000002E-2</v>
      </c>
      <c r="T29" s="14">
        <v>3.7499999999999999E-3</v>
      </c>
      <c r="U29" s="14">
        <v>3.0020000000000002E-2</v>
      </c>
      <c r="V29" s="14">
        <v>7.8170000000000003E-2</v>
      </c>
      <c r="W29" s="14">
        <v>4.1099999999999998E-2</v>
      </c>
      <c r="X29" s="14">
        <v>1.7010000000000001E-2</v>
      </c>
      <c r="Y29" s="14">
        <v>2.7999999999999998E-4</v>
      </c>
      <c r="Z29" s="14">
        <v>4.4600000000000004E-3</v>
      </c>
      <c r="AA29" s="14">
        <v>2.0699999999999998E-3</v>
      </c>
      <c r="AB29" s="14">
        <v>3.6470000000000002E-2</v>
      </c>
      <c r="AC29" s="14">
        <v>5.7070000000000003E-2</v>
      </c>
      <c r="AD29" s="14">
        <v>4.4740000000000002E-2</v>
      </c>
    </row>
    <row r="30" spans="1:30">
      <c r="A30" s="14">
        <v>1.3492549192911176E-2</v>
      </c>
      <c r="C30" s="14" t="s">
        <v>172</v>
      </c>
      <c r="D30" s="14">
        <v>-0.15806999999999999</v>
      </c>
      <c r="E30" s="14">
        <v>-0.22428999999999999</v>
      </c>
      <c r="F30" s="14">
        <v>-0.30520999999999998</v>
      </c>
      <c r="G30" s="14">
        <v>-0.14233000000000001</v>
      </c>
      <c r="H30" s="14">
        <v>3.2280000000000003E-2</v>
      </c>
      <c r="I30" s="14">
        <v>0.12175999999999999</v>
      </c>
      <c r="J30" s="14">
        <v>0.16169</v>
      </c>
      <c r="K30" s="14">
        <v>0.14229</v>
      </c>
      <c r="L30" s="14">
        <v>0.11271</v>
      </c>
      <c r="M30" s="14">
        <v>0.11662</v>
      </c>
      <c r="N30" s="14">
        <v>7.6689999999999994E-2</v>
      </c>
      <c r="O30" s="14">
        <v>6.608E-2</v>
      </c>
      <c r="P30" s="14">
        <v>6.583E-2</v>
      </c>
      <c r="Q30" s="14">
        <v>5.6000000000000001E-2</v>
      </c>
      <c r="R30" s="14">
        <v>5.2510000000000001E-2</v>
      </c>
      <c r="S30" s="14">
        <v>5.518E-2</v>
      </c>
      <c r="T30" s="14">
        <v>1.9539999999999998E-2</v>
      </c>
      <c r="U30" s="14">
        <v>2.8000000000000001E-2</v>
      </c>
      <c r="V30" s="14">
        <v>4.8570000000000002E-2</v>
      </c>
      <c r="W30" s="14">
        <v>7.3770000000000002E-2</v>
      </c>
      <c r="X30" s="14">
        <v>2.0750000000000001E-2</v>
      </c>
      <c r="Y30" s="14">
        <v>1.9400000000000001E-3</v>
      </c>
      <c r="Z30" s="14">
        <v>4.9399999999999999E-3</v>
      </c>
      <c r="AA30" s="14">
        <v>3.65E-3</v>
      </c>
      <c r="AB30" s="14">
        <v>2.7300000000000001E-2</v>
      </c>
      <c r="AC30" s="14">
        <v>6.5100000000000005E-2</v>
      </c>
      <c r="AD30" s="14">
        <v>0.41310000000000002</v>
      </c>
    </row>
    <row r="31" spans="1:30">
      <c r="C31" s="14" t="s">
        <v>173</v>
      </c>
      <c r="D31" s="14">
        <v>-9.0590000000000004E-2</v>
      </c>
      <c r="E31" s="14">
        <v>-0.11026</v>
      </c>
      <c r="F31" s="14">
        <v>-0.12429999999999999</v>
      </c>
      <c r="G31" s="14">
        <v>-5.7180000000000002E-2</v>
      </c>
      <c r="H31" s="14">
        <v>-8.8299999999999993E-3</v>
      </c>
      <c r="I31" s="14">
        <v>3.44E-2</v>
      </c>
      <c r="J31" s="14">
        <v>5.1470000000000002E-2</v>
      </c>
      <c r="K31" s="14">
        <v>5.0709999999999998E-2</v>
      </c>
      <c r="L31" s="14">
        <v>3.3840000000000002E-2</v>
      </c>
      <c r="M31" s="14">
        <v>2.9270000000000001E-2</v>
      </c>
      <c r="N31" s="14">
        <v>2.342E-2</v>
      </c>
      <c r="O31" s="14">
        <v>1.8270000000000002E-2</v>
      </c>
      <c r="P31" s="14">
        <v>1.5310000000000001E-2</v>
      </c>
      <c r="Q31" s="14">
        <v>1.065E-2</v>
      </c>
      <c r="R31" s="14">
        <v>9.6799999999999994E-3</v>
      </c>
      <c r="S31" s="14">
        <v>5.8999999999999999E-3</v>
      </c>
      <c r="T31" s="14">
        <v>2.3600000000000001E-3</v>
      </c>
      <c r="U31" s="14">
        <v>4.4400000000000004E-3</v>
      </c>
      <c r="V31" s="14">
        <v>8.3599999999999994E-3</v>
      </c>
      <c r="W31" s="14">
        <v>8.5500000000000003E-3</v>
      </c>
      <c r="X31" s="14">
        <v>3.2299999999999998E-3</v>
      </c>
      <c r="Y31" s="14">
        <v>-6.0000000000000002E-5</v>
      </c>
      <c r="Z31" s="14">
        <v>1.7000000000000001E-4</v>
      </c>
      <c r="AA31" s="14">
        <v>9.0000000000000006E-5</v>
      </c>
      <c r="AB31" s="14">
        <v>2.1900000000000001E-3</v>
      </c>
      <c r="AC31" s="14">
        <v>6.4200000000000004E-3</v>
      </c>
      <c r="AD31" s="14">
        <v>3.7400000000000003E-2</v>
      </c>
    </row>
    <row r="32" spans="1:30">
      <c r="A32" s="14" t="s">
        <v>191</v>
      </c>
    </row>
    <row r="33" spans="1:32">
      <c r="A33" s="15">
        <f>'Significant Decline in Use'!D30</f>
        <v>-0.15</v>
      </c>
      <c r="C33" s="14" t="s">
        <v>185</v>
      </c>
      <c r="D33" s="14">
        <f>MAX(0,SUMPRODUCT($A$4:$A$30,D$4:D$30)+D$31*$A33)</f>
        <v>6.8135144412386342E-2</v>
      </c>
      <c r="E33" s="14">
        <f t="shared" ref="E33:AD33" si="0">MAX(0,SUMPRODUCT($A$4:$A$30,E$4:E$30)+E$31*$A33)</f>
        <v>0.12169781246363096</v>
      </c>
      <c r="F33" s="14">
        <f t="shared" si="0"/>
        <v>0.17026655977015359</v>
      </c>
      <c r="G33" s="14">
        <f t="shared" si="0"/>
        <v>0.16411122272944448</v>
      </c>
      <c r="H33" s="14">
        <f t="shared" si="0"/>
        <v>0.13452863570984833</v>
      </c>
      <c r="I33" s="14">
        <f t="shared" si="0"/>
        <v>9.9645028487869672E-2</v>
      </c>
      <c r="J33" s="14">
        <f t="shared" si="0"/>
        <v>6.8994937035734491E-2</v>
      </c>
      <c r="K33" s="14">
        <f t="shared" si="0"/>
        <v>4.5089655323385047E-2</v>
      </c>
      <c r="L33" s="14">
        <f t="shared" si="0"/>
        <v>2.9656426449237213E-2</v>
      </c>
      <c r="M33" s="14">
        <f t="shared" si="0"/>
        <v>2.0663837779947548E-2</v>
      </c>
      <c r="N33" s="14">
        <f t="shared" si="0"/>
        <v>1.4639336711001701E-2</v>
      </c>
      <c r="O33" s="14">
        <f t="shared" si="0"/>
        <v>1.0035674400135123E-2</v>
      </c>
      <c r="P33" s="14">
        <f t="shared" si="0"/>
        <v>7.8630661977110196E-3</v>
      </c>
      <c r="Q33" s="14">
        <f t="shared" si="0"/>
        <v>5.3108861578453565E-3</v>
      </c>
      <c r="R33" s="14">
        <f t="shared" si="0"/>
        <v>5.1871034390209179E-3</v>
      </c>
      <c r="S33" s="14">
        <f t="shared" si="0"/>
        <v>4.0675026521194389E-3</v>
      </c>
      <c r="T33" s="14">
        <f t="shared" si="0"/>
        <v>2.2247730607135789E-3</v>
      </c>
      <c r="U33" s="14">
        <f t="shared" si="0"/>
        <v>2.5896034974427439E-3</v>
      </c>
      <c r="V33" s="14">
        <f t="shared" si="0"/>
        <v>2.5049604964351123E-3</v>
      </c>
      <c r="W33" s="14">
        <f t="shared" si="0"/>
        <v>2.8137702813386808E-3</v>
      </c>
      <c r="X33" s="14">
        <f t="shared" si="0"/>
        <v>1.3916832733111759E-3</v>
      </c>
      <c r="Y33" s="14">
        <f t="shared" si="0"/>
        <v>1.002321899623208E-3</v>
      </c>
      <c r="Z33" s="14">
        <f t="shared" si="0"/>
        <v>1.0121563709288377E-3</v>
      </c>
      <c r="AA33" s="14">
        <f t="shared" si="0"/>
        <v>1.0012033270361163E-3</v>
      </c>
      <c r="AB33" s="14">
        <f t="shared" si="0"/>
        <v>1.1560171754378455E-3</v>
      </c>
      <c r="AC33" s="14">
        <f t="shared" si="0"/>
        <v>1.5033355980948702E-3</v>
      </c>
      <c r="AD33" s="14">
        <f t="shared" si="0"/>
        <v>8.1398527770033171E-3</v>
      </c>
    </row>
    <row r="35" spans="1:32">
      <c r="C35" s="14" t="s">
        <v>182</v>
      </c>
      <c r="D35" s="14">
        <f>SUM(D33:AD33)</f>
        <v>0.99523250747683678</v>
      </c>
    </row>
    <row r="36" spans="1:32">
      <c r="C36" s="14" t="s">
        <v>183</v>
      </c>
      <c r="D36" s="14">
        <f>1-D35</f>
        <v>4.7674925231632193E-3</v>
      </c>
    </row>
    <row r="37" spans="1:32">
      <c r="C37" s="14" t="s">
        <v>184</v>
      </c>
      <c r="D37" s="14">
        <f>D36/COUNTIF(D33:AD33,"&gt;0")</f>
        <v>1.7657379715419331E-4</v>
      </c>
    </row>
    <row r="39" spans="1:32">
      <c r="C39" s="14" t="s">
        <v>179</v>
      </c>
      <c r="D39" s="14">
        <f>MAX(0,D33+$D37)</f>
        <v>6.8311718209540531E-2</v>
      </c>
      <c r="E39" s="14">
        <f t="shared" ref="E39:AD39" si="1">MAX(0,E33+$D37)</f>
        <v>0.12187438626078514</v>
      </c>
      <c r="F39" s="14">
        <f t="shared" si="1"/>
        <v>0.17044313356730778</v>
      </c>
      <c r="G39" s="14">
        <f t="shared" si="1"/>
        <v>0.16428779652659867</v>
      </c>
      <c r="H39" s="14">
        <f t="shared" si="1"/>
        <v>0.13470520950700252</v>
      </c>
      <c r="I39" s="14">
        <f t="shared" si="1"/>
        <v>9.9821602285023861E-2</v>
      </c>
      <c r="J39" s="14">
        <f t="shared" si="1"/>
        <v>6.917151083288868E-2</v>
      </c>
      <c r="K39" s="14">
        <f t="shared" si="1"/>
        <v>4.5266229120539243E-2</v>
      </c>
      <c r="L39" s="14">
        <f t="shared" si="1"/>
        <v>2.9833000246391406E-2</v>
      </c>
      <c r="M39" s="14">
        <f t="shared" si="1"/>
        <v>2.0840411577101741E-2</v>
      </c>
      <c r="N39" s="14">
        <f t="shared" si="1"/>
        <v>1.4815910508155894E-2</v>
      </c>
      <c r="O39" s="14">
        <f t="shared" si="1"/>
        <v>1.0212248197289315E-2</v>
      </c>
      <c r="P39" s="14">
        <f t="shared" si="1"/>
        <v>8.0396399948652122E-3</v>
      </c>
      <c r="Q39" s="14">
        <f t="shared" si="1"/>
        <v>5.48745995499955E-3</v>
      </c>
      <c r="R39" s="14">
        <f t="shared" si="1"/>
        <v>5.3636772361751114E-3</v>
      </c>
      <c r="S39" s="14">
        <f t="shared" si="1"/>
        <v>4.2440764492736325E-3</v>
      </c>
      <c r="T39" s="14">
        <f t="shared" si="1"/>
        <v>2.401346857867772E-3</v>
      </c>
      <c r="U39" s="14">
        <f t="shared" si="1"/>
        <v>2.766177294596937E-3</v>
      </c>
      <c r="V39" s="14">
        <f t="shared" si="1"/>
        <v>2.6815342935893058E-3</v>
      </c>
      <c r="W39" s="14">
        <f t="shared" si="1"/>
        <v>2.9903440784928743E-3</v>
      </c>
      <c r="X39" s="14">
        <f t="shared" si="1"/>
        <v>1.5682570704653692E-3</v>
      </c>
      <c r="Y39" s="14">
        <f t="shared" si="1"/>
        <v>1.1788956967774013E-3</v>
      </c>
      <c r="Z39" s="14">
        <f t="shared" si="1"/>
        <v>1.188730168083031E-3</v>
      </c>
      <c r="AA39" s="14">
        <f t="shared" si="1"/>
        <v>1.1777771241903096E-3</v>
      </c>
      <c r="AB39" s="14">
        <f t="shared" si="1"/>
        <v>1.3325909725920388E-3</v>
      </c>
      <c r="AC39" s="14">
        <f t="shared" si="1"/>
        <v>1.6799093952490636E-3</v>
      </c>
      <c r="AD39" s="14">
        <f t="shared" si="1"/>
        <v>8.3164265741575098E-3</v>
      </c>
    </row>
    <row r="41" spans="1:32">
      <c r="A41" s="14" t="s">
        <v>192</v>
      </c>
    </row>
    <row r="43" spans="1:32">
      <c r="A43" s="15">
        <f>'Significant Decline in Use'!K32</f>
        <v>-9.9999999999999992E-2</v>
      </c>
      <c r="C43" s="14" t="s">
        <v>185</v>
      </c>
      <c r="D43" s="14">
        <f>MAX(0,SUMPRODUCT($A$4:$A$30,D$4:D$30)+D$31*$A43)</f>
        <v>6.360564441238635E-2</v>
      </c>
      <c r="E43" s="14">
        <f t="shared" ref="E43:AD43" si="2">MAX(0,SUMPRODUCT($A$4:$A$30,E$4:E$30)+E$31*$A43)</f>
        <v>0.11618481246363095</v>
      </c>
      <c r="F43" s="14">
        <f t="shared" si="2"/>
        <v>0.16405155977015359</v>
      </c>
      <c r="G43" s="14">
        <f t="shared" si="2"/>
        <v>0.16125222272944448</v>
      </c>
      <c r="H43" s="14">
        <f t="shared" si="2"/>
        <v>0.13408713570984832</v>
      </c>
      <c r="I43" s="14">
        <f t="shared" si="2"/>
        <v>0.10136502848786967</v>
      </c>
      <c r="J43" s="14">
        <f t="shared" si="2"/>
        <v>7.1568437035734497E-2</v>
      </c>
      <c r="K43" s="14">
        <f t="shared" si="2"/>
        <v>4.762515532338505E-2</v>
      </c>
      <c r="L43" s="14">
        <f t="shared" si="2"/>
        <v>3.1348426449237216E-2</v>
      </c>
      <c r="M43" s="14">
        <f t="shared" si="2"/>
        <v>2.2127337779947551E-2</v>
      </c>
      <c r="N43" s="14">
        <f t="shared" si="2"/>
        <v>1.58103367110017E-2</v>
      </c>
      <c r="O43" s="14">
        <f t="shared" si="2"/>
        <v>1.0949174400135122E-2</v>
      </c>
      <c r="P43" s="14">
        <f t="shared" si="2"/>
        <v>8.6285661977110201E-3</v>
      </c>
      <c r="Q43" s="14">
        <f t="shared" si="2"/>
        <v>5.8433861578453565E-3</v>
      </c>
      <c r="R43" s="14">
        <f t="shared" si="2"/>
        <v>5.671103439020918E-3</v>
      </c>
      <c r="S43" s="14">
        <f t="shared" si="2"/>
        <v>4.3625026521194382E-3</v>
      </c>
      <c r="T43" s="14">
        <f t="shared" si="2"/>
        <v>2.3427730607135789E-3</v>
      </c>
      <c r="U43" s="14">
        <f t="shared" si="2"/>
        <v>2.8116034974427439E-3</v>
      </c>
      <c r="V43" s="14">
        <f t="shared" si="2"/>
        <v>2.9229604964351123E-3</v>
      </c>
      <c r="W43" s="14">
        <f t="shared" si="2"/>
        <v>3.2412702813386807E-3</v>
      </c>
      <c r="X43" s="14">
        <f t="shared" si="2"/>
        <v>1.5531832733111759E-3</v>
      </c>
      <c r="Y43" s="14">
        <f t="shared" si="2"/>
        <v>9.9932189962320802E-4</v>
      </c>
      <c r="Z43" s="14">
        <f t="shared" si="2"/>
        <v>1.0206563709288376E-3</v>
      </c>
      <c r="AA43" s="14">
        <f t="shared" si="2"/>
        <v>1.0057033270361164E-3</v>
      </c>
      <c r="AB43" s="14">
        <f t="shared" si="2"/>
        <v>1.2655171754378455E-3</v>
      </c>
      <c r="AC43" s="14">
        <f t="shared" si="2"/>
        <v>1.8243355980948701E-3</v>
      </c>
      <c r="AD43" s="14">
        <f t="shared" si="2"/>
        <v>1.0009852777003317E-2</v>
      </c>
    </row>
    <row r="45" spans="1:32">
      <c r="C45" s="14" t="s">
        <v>182</v>
      </c>
      <c r="D45" s="14">
        <f>SUM(D43:AD43)</f>
        <v>0.9934780074768369</v>
      </c>
    </row>
    <row r="46" spans="1:32">
      <c r="C46" s="14" t="s">
        <v>183</v>
      </c>
      <c r="D46" s="14">
        <f>1-D45</f>
        <v>6.5219925231631004E-3</v>
      </c>
    </row>
    <row r="47" spans="1:32">
      <c r="C47" s="14" t="s">
        <v>184</v>
      </c>
      <c r="D47" s="14">
        <f>D46/COUNTIF(D43:AD43,"&gt;0")</f>
        <v>2.4155527863567038E-4</v>
      </c>
    </row>
    <row r="48" spans="1:32">
      <c r="AF48" s="14" t="s">
        <v>188</v>
      </c>
    </row>
    <row r="49" spans="1:32">
      <c r="C49" s="14" t="s">
        <v>179</v>
      </c>
      <c r="D49" s="14">
        <f>MAX(0,D43+$D47)</f>
        <v>6.3847199691022025E-2</v>
      </c>
      <c r="E49" s="14">
        <f t="shared" ref="E49:AD49" si="3">MAX(0,E43+$D47)</f>
        <v>0.11642636774226663</v>
      </c>
      <c r="F49" s="14">
        <f t="shared" si="3"/>
        <v>0.16429311504878927</v>
      </c>
      <c r="G49" s="14">
        <f t="shared" si="3"/>
        <v>0.16149377800808015</v>
      </c>
      <c r="H49" s="14">
        <f t="shared" si="3"/>
        <v>0.13432869098848399</v>
      </c>
      <c r="I49" s="14">
        <f t="shared" si="3"/>
        <v>0.10160658376650535</v>
      </c>
      <c r="J49" s="14">
        <f t="shared" si="3"/>
        <v>7.1809992314370172E-2</v>
      </c>
      <c r="K49" s="14">
        <f t="shared" si="3"/>
        <v>4.7866710602020718E-2</v>
      </c>
      <c r="L49" s="14">
        <f t="shared" si="3"/>
        <v>3.1589981727872883E-2</v>
      </c>
      <c r="M49" s="14">
        <f t="shared" si="3"/>
        <v>2.2368893058583222E-2</v>
      </c>
      <c r="N49" s="14">
        <f t="shared" si="3"/>
        <v>1.6051891989637371E-2</v>
      </c>
      <c r="O49" s="14">
        <f t="shared" si="3"/>
        <v>1.1190729678770793E-2</v>
      </c>
      <c r="P49" s="14">
        <f t="shared" si="3"/>
        <v>8.8701214763466912E-3</v>
      </c>
      <c r="Q49" s="14">
        <f t="shared" si="3"/>
        <v>6.0849414364810266E-3</v>
      </c>
      <c r="R49" s="14">
        <f t="shared" si="3"/>
        <v>5.9126587176565881E-3</v>
      </c>
      <c r="S49" s="14">
        <f t="shared" si="3"/>
        <v>4.6040579307551083E-3</v>
      </c>
      <c r="T49" s="14">
        <f t="shared" si="3"/>
        <v>2.5843283393492495E-3</v>
      </c>
      <c r="U49" s="14">
        <f t="shared" si="3"/>
        <v>3.0531587760784145E-3</v>
      </c>
      <c r="V49" s="14">
        <f t="shared" si="3"/>
        <v>3.1645157750707824E-3</v>
      </c>
      <c r="W49" s="14">
        <f t="shared" si="3"/>
        <v>3.4828255599743509E-3</v>
      </c>
      <c r="X49" s="14">
        <f t="shared" si="3"/>
        <v>1.7947385519468462E-3</v>
      </c>
      <c r="Y49" s="14">
        <f t="shared" si="3"/>
        <v>1.2408771782588784E-3</v>
      </c>
      <c r="Z49" s="14">
        <f t="shared" si="3"/>
        <v>1.2622116495645079E-3</v>
      </c>
      <c r="AA49" s="14">
        <f t="shared" si="3"/>
        <v>1.2472586056717868E-3</v>
      </c>
      <c r="AB49" s="14">
        <f t="shared" si="3"/>
        <v>1.5070724540735159E-3</v>
      </c>
      <c r="AC49" s="14">
        <f t="shared" si="3"/>
        <v>2.0658908767305405E-3</v>
      </c>
      <c r="AD49" s="14">
        <f t="shared" si="3"/>
        <v>1.0251408055638988E-2</v>
      </c>
      <c r="AF49" s="16">
        <f>'Significant Decline in Use'!$AE$21-('Significant Decline in Use'!$AE$21*-'pred conserv percent - COMPAR'!A43)</f>
        <v>24532.2</v>
      </c>
    </row>
    <row r="50" spans="1:32">
      <c r="C50" s="14" t="s">
        <v>187</v>
      </c>
      <c r="D50" s="14">
        <f>ROUND(D49*SUM('Significant Decline in Use'!$C$21:$AC$21),0)</f>
        <v>55190</v>
      </c>
      <c r="E50" s="14">
        <f>ROUND(E49*SUM('Significant Decline in Use'!$C$21:$AC$21),0)</f>
        <v>100639</v>
      </c>
      <c r="F50" s="14">
        <f>ROUND(F49*SUM('Significant Decline in Use'!$C$21:$AC$21),0)</f>
        <v>142015</v>
      </c>
      <c r="G50" s="14">
        <f>ROUND(G49*SUM('Significant Decline in Use'!$C$21:$AC$21),0)</f>
        <v>139596</v>
      </c>
      <c r="H50" s="14">
        <f>ROUND(H49*SUM('Significant Decline in Use'!$C$21:$AC$21),0)</f>
        <v>116114</v>
      </c>
      <c r="I50" s="14">
        <f>ROUND(I49*SUM('Significant Decline in Use'!$C$21:$AC$21),0)</f>
        <v>87829</v>
      </c>
      <c r="J50" s="14">
        <f>ROUND(J49*SUM('Significant Decline in Use'!$C$21:$AC$21),0)</f>
        <v>62073</v>
      </c>
      <c r="K50" s="14">
        <f>ROUND(K49*SUM('Significant Decline in Use'!$C$21:$AC$21),0)</f>
        <v>41376</v>
      </c>
      <c r="L50" s="14">
        <f>ROUND(L49*SUM('Significant Decline in Use'!$C$21:$AC$21),0)</f>
        <v>27306</v>
      </c>
      <c r="M50" s="14">
        <f>ROUND(M49*SUM('Significant Decline in Use'!$C$21:$AC$21),0)</f>
        <v>19336</v>
      </c>
      <c r="N50" s="14">
        <f>ROUND(N49*SUM('Significant Decline in Use'!$C$21:$AC$21),0)</f>
        <v>13875</v>
      </c>
      <c r="O50" s="14">
        <f>ROUND(O49*SUM('Significant Decline in Use'!$C$21:$AC$21),0)</f>
        <v>9673</v>
      </c>
      <c r="P50" s="14">
        <f>ROUND(P49*SUM('Significant Decline in Use'!$C$21:$AC$21),0)</f>
        <v>7667</v>
      </c>
      <c r="Q50" s="14">
        <f>ROUND(Q49*SUM('Significant Decline in Use'!$C$21:$AC$21),0)</f>
        <v>5260</v>
      </c>
      <c r="R50" s="14">
        <f>ROUND(R49*SUM('Significant Decline in Use'!$C$21:$AC$21),0)</f>
        <v>5111</v>
      </c>
      <c r="S50" s="14">
        <f>ROUND(S49*SUM('Significant Decline in Use'!$C$21:$AC$21),0)</f>
        <v>3980</v>
      </c>
      <c r="T50" s="14">
        <f>ROUND(T49*SUM('Significant Decline in Use'!$C$21:$AC$21),0)</f>
        <v>2234</v>
      </c>
      <c r="U50" s="14">
        <f>ROUND(U49*SUM('Significant Decline in Use'!$C$21:$AC$21),0)</f>
        <v>2639</v>
      </c>
      <c r="V50" s="14">
        <f>ROUND(V49*SUM('Significant Decline in Use'!$C$21:$AC$21),0)</f>
        <v>2735</v>
      </c>
      <c r="W50" s="14">
        <f>ROUND(W49*SUM('Significant Decline in Use'!$C$21:$AC$21),0)</f>
        <v>3011</v>
      </c>
      <c r="X50" s="14">
        <f>ROUND(X49*SUM('Significant Decline in Use'!$C$21:$AC$21),0)</f>
        <v>1551</v>
      </c>
      <c r="Y50" s="14">
        <f>ROUND(Y49*SUM('Significant Decline in Use'!$C$21:$AC$21),0)</f>
        <v>1073</v>
      </c>
      <c r="Z50" s="14">
        <f>ROUND(Z49*SUM('Significant Decline in Use'!$C$21:$AC$21),0)</f>
        <v>1091</v>
      </c>
      <c r="AA50" s="14">
        <f>ROUND(AA49*SUM('Significant Decline in Use'!$C$21:$AC$21),0)</f>
        <v>1078</v>
      </c>
      <c r="AB50" s="14">
        <f>ROUND(AB49*SUM('Significant Decline in Use'!$C$21:$AC$21),0)</f>
        <v>1303</v>
      </c>
      <c r="AC50" s="14">
        <f>ROUND(AC49*SUM('Significant Decline in Use'!$C$21:$AC$21),0)</f>
        <v>1786</v>
      </c>
      <c r="AD50" s="17">
        <f>SUM('Significant Decline in Use'!$C$21:$AC$21)-SUM('pred conserv percent - COMPAR'!D50:AC50)</f>
        <v>8862</v>
      </c>
      <c r="AF50" s="18">
        <f>IF('Input COMPARATIVE Rates'!$C$6=Callouts!$N$2,'Input REFERENCE Rates'!S52,'Input COMPARATIVE Rates'!S52)</f>
        <v>67.330500000000001</v>
      </c>
    </row>
    <row r="51" spans="1:32">
      <c r="C51" s="14" t="s">
        <v>193</v>
      </c>
      <c r="D51" s="19">
        <f>D50*'Revenues from COMPARATIVE Rates'!C$110</f>
        <v>441520</v>
      </c>
      <c r="E51" s="19">
        <f>E50*'Revenues from COMPARATIVE Rates'!D$110</f>
        <v>956070.5</v>
      </c>
      <c r="F51" s="19">
        <f>F50*'Revenues from COMPARATIVE Rates'!E$110</f>
        <v>1562165</v>
      </c>
      <c r="G51" s="19">
        <f>G50*'Revenues from COMPARATIVE Rates'!F$110</f>
        <v>1884546</v>
      </c>
      <c r="H51" s="19">
        <f>H50*'Revenues from COMPARATIVE Rates'!G$110</f>
        <v>1857824</v>
      </c>
      <c r="I51" s="19">
        <f>I50*'Revenues from COMPARATIVE Rates'!H$110</f>
        <v>1624836.5</v>
      </c>
      <c r="J51" s="19">
        <f>J50*'Revenues from COMPARATIVE Rates'!I$110</f>
        <v>1303533</v>
      </c>
      <c r="K51" s="19">
        <f>K50*'Revenues from COMPARATIVE Rates'!J$110</f>
        <v>972336</v>
      </c>
      <c r="L51" s="19">
        <f>L50*'Revenues from COMPARATIVE Rates'!K$110</f>
        <v>709956</v>
      </c>
      <c r="M51" s="19">
        <f>M50*'Revenues from COMPARATIVE Rates'!L$110</f>
        <v>551076</v>
      </c>
      <c r="N51" s="19">
        <f>N50*'Revenues from COMPARATIVE Rates'!M$110</f>
        <v>430125</v>
      </c>
      <c r="O51" s="19">
        <f>O50*'Revenues from COMPARATIVE Rates'!N$110</f>
        <v>324045.5</v>
      </c>
      <c r="P51" s="19">
        <f>P50*'Revenues from COMPARATIVE Rates'!O$110</f>
        <v>276012</v>
      </c>
      <c r="Q51" s="19">
        <f>Q50*'Revenues from COMPARATIVE Rates'!P$110</f>
        <v>202510</v>
      </c>
      <c r="R51" s="19">
        <f>R50*'Revenues from COMPARATIVE Rates'!Q$110</f>
        <v>209551</v>
      </c>
      <c r="S51" s="19">
        <f>S50*'Revenues from COMPARATIVE Rates'!R$110</f>
        <v>173130</v>
      </c>
      <c r="T51" s="19">
        <f>T50*'Revenues from COMPARATIVE Rates'!S$110</f>
        <v>102764</v>
      </c>
      <c r="U51" s="19">
        <f>U50*'Revenues from COMPARATIVE Rates'!T$110</f>
        <v>127991.5</v>
      </c>
      <c r="V51" s="19">
        <f>V50*'Revenues from COMPARATIVE Rates'!U$110</f>
        <v>139485</v>
      </c>
      <c r="W51" s="19">
        <f>W50*'Revenues from COMPARATIVE Rates'!V$110</f>
        <v>161088.5</v>
      </c>
      <c r="X51" s="19">
        <f>X50*'Revenues from COMPARATIVE Rates'!W$110</f>
        <v>86856</v>
      </c>
      <c r="Y51" s="19">
        <f>Y50*'Revenues from COMPARATIVE Rates'!X$110</f>
        <v>62770.5</v>
      </c>
      <c r="Z51" s="19">
        <f>Z50*'Revenues from COMPARATIVE Rates'!Y$110</f>
        <v>66551</v>
      </c>
      <c r="AA51" s="19">
        <f>AA50*'Revenues from COMPARATIVE Rates'!Z$110</f>
        <v>68453</v>
      </c>
      <c r="AB51" s="19">
        <f>AB50*'Revenues from COMPARATIVE Rates'!AA$110</f>
        <v>85998</v>
      </c>
      <c r="AC51" s="19">
        <f>AC50*'Revenues from COMPARATIVE Rates'!AB$110</f>
        <v>122341</v>
      </c>
      <c r="AD51" s="19">
        <f>AD50*AF50</f>
        <v>596682.89100000006</v>
      </c>
    </row>
    <row r="52" spans="1:32">
      <c r="C52" s="14" t="s">
        <v>197</v>
      </c>
      <c r="D52" s="19">
        <f>D50*'Revenues from COMPARATIVE Rates'!$C$110</f>
        <v>441520</v>
      </c>
      <c r="E52" s="19">
        <f>E50*'Revenues from COMPARATIVE Rates'!$C$110</f>
        <v>805112</v>
      </c>
      <c r="F52" s="19">
        <f>F50*'Revenues from COMPARATIVE Rates'!$C$110</f>
        <v>1136120</v>
      </c>
      <c r="G52" s="19">
        <f>G50*'Revenues from COMPARATIVE Rates'!$C$110</f>
        <v>1116768</v>
      </c>
      <c r="H52" s="19">
        <f>H50*'Revenues from COMPARATIVE Rates'!$C$110</f>
        <v>928912</v>
      </c>
      <c r="I52" s="19">
        <f>I50*'Revenues from COMPARATIVE Rates'!$C$110</f>
        <v>702632</v>
      </c>
      <c r="J52" s="19">
        <f>J50*'Revenues from COMPARATIVE Rates'!$C$110</f>
        <v>496584</v>
      </c>
      <c r="K52" s="19">
        <f>K50*'Revenues from COMPARATIVE Rates'!$C$110</f>
        <v>331008</v>
      </c>
      <c r="L52" s="19">
        <f>L50*'Revenues from COMPARATIVE Rates'!$C$110</f>
        <v>218448</v>
      </c>
      <c r="M52" s="19">
        <f>M50*'Revenues from COMPARATIVE Rates'!$C$110</f>
        <v>154688</v>
      </c>
      <c r="N52" s="19">
        <f>N50*'Revenues from COMPARATIVE Rates'!$C$110</f>
        <v>111000</v>
      </c>
      <c r="O52" s="19">
        <f>O50*'Revenues from COMPARATIVE Rates'!$C$110</f>
        <v>77384</v>
      </c>
      <c r="P52" s="19">
        <f>P50*'Revenues from COMPARATIVE Rates'!$C$110</f>
        <v>61336</v>
      </c>
      <c r="Q52" s="19">
        <f>Q50*'Revenues from COMPARATIVE Rates'!$C$110</f>
        <v>42080</v>
      </c>
      <c r="R52" s="19">
        <f>R50*'Revenues from COMPARATIVE Rates'!$C$110</f>
        <v>40888</v>
      </c>
      <c r="S52" s="19">
        <f>S50*'Revenues from COMPARATIVE Rates'!$C$110</f>
        <v>31840</v>
      </c>
      <c r="T52" s="19">
        <f>T50*'Revenues from COMPARATIVE Rates'!$C$110</f>
        <v>17872</v>
      </c>
      <c r="U52" s="19">
        <f>U50*'Revenues from COMPARATIVE Rates'!$C$110</f>
        <v>21112</v>
      </c>
      <c r="V52" s="19">
        <f>V50*'Revenues from COMPARATIVE Rates'!$C$110</f>
        <v>21880</v>
      </c>
      <c r="W52" s="19">
        <f>W50*'Revenues from COMPARATIVE Rates'!$C$110</f>
        <v>24088</v>
      </c>
      <c r="X52" s="19">
        <f>X50*'Revenues from COMPARATIVE Rates'!$C$110</f>
        <v>12408</v>
      </c>
      <c r="Y52" s="19">
        <f>Y50*'Revenues from COMPARATIVE Rates'!$C$110</f>
        <v>8584</v>
      </c>
      <c r="Z52" s="19">
        <f>Z50*'Revenues from COMPARATIVE Rates'!$C$110</f>
        <v>8728</v>
      </c>
      <c r="AA52" s="19">
        <f>AA50*'Revenues from COMPARATIVE Rates'!$C$110</f>
        <v>8624</v>
      </c>
      <c r="AB52" s="19">
        <f>AB50*'Revenues from COMPARATIVE Rates'!$C$110</f>
        <v>10424</v>
      </c>
      <c r="AC52" s="19">
        <f>AC50*'Revenues from COMPARATIVE Rates'!$C$110</f>
        <v>14288</v>
      </c>
      <c r="AD52" s="19">
        <f>AD50*'Revenues from COMPARATIVE Rates'!$C$110</f>
        <v>70896</v>
      </c>
    </row>
    <row r="53" spans="1:32">
      <c r="C53" s="14" t="s">
        <v>194</v>
      </c>
      <c r="D53" s="19">
        <f>SUM(D51:AD51)</f>
        <v>15100217.891000001</v>
      </c>
    </row>
    <row r="54" spans="1:32">
      <c r="C54" s="14" t="s">
        <v>195</v>
      </c>
      <c r="D54" s="19">
        <f>SUM(D52:AD52)</f>
        <v>6915224</v>
      </c>
    </row>
    <row r="55" spans="1:32">
      <c r="C55" s="14" t="s">
        <v>196</v>
      </c>
      <c r="D55" s="19">
        <f>D53-D54</f>
        <v>8184993.8910000008</v>
      </c>
    </row>
    <row r="58" spans="1:32">
      <c r="A58" s="15">
        <f>'Significant Decline in Use'!L32</f>
        <v>-0.2</v>
      </c>
      <c r="C58" s="14" t="s">
        <v>185</v>
      </c>
      <c r="D58" s="14">
        <f>MAX(0,SUMPRODUCT($A$4:$A$30,D$4:D$30)+D$31*$A58)</f>
        <v>7.2664644412386348E-2</v>
      </c>
      <c r="E58" s="14">
        <f t="shared" ref="E58:AD58" si="4">MAX(0,SUMPRODUCT($A$4:$A$30,E$4:E$30)+E$31*$A58)</f>
        <v>0.12721081246363097</v>
      </c>
      <c r="F58" s="14">
        <f t="shared" si="4"/>
        <v>0.17648155977015359</v>
      </c>
      <c r="G58" s="14">
        <f t="shared" si="4"/>
        <v>0.16697022272944448</v>
      </c>
      <c r="H58" s="14">
        <f t="shared" si="4"/>
        <v>0.13497013570984831</v>
      </c>
      <c r="I58" s="14">
        <f t="shared" si="4"/>
        <v>9.7925028487869673E-2</v>
      </c>
      <c r="J58" s="14">
        <f t="shared" si="4"/>
        <v>6.6421437035734499E-2</v>
      </c>
      <c r="K58" s="14">
        <f t="shared" si="4"/>
        <v>4.2554155323385051E-2</v>
      </c>
      <c r="L58" s="14">
        <f t="shared" si="4"/>
        <v>2.7964426449237214E-2</v>
      </c>
      <c r="M58" s="14">
        <f t="shared" si="4"/>
        <v>1.9200337779947549E-2</v>
      </c>
      <c r="N58" s="14">
        <f t="shared" si="4"/>
        <v>1.3468336711001699E-2</v>
      </c>
      <c r="O58" s="14">
        <f t="shared" si="4"/>
        <v>9.1221744001351215E-3</v>
      </c>
      <c r="P58" s="14">
        <f t="shared" si="4"/>
        <v>7.097566197711019E-3</v>
      </c>
      <c r="Q58" s="14">
        <f t="shared" si="4"/>
        <v>4.7783861578453565E-3</v>
      </c>
      <c r="R58" s="14">
        <f t="shared" si="4"/>
        <v>4.7031034390209179E-3</v>
      </c>
      <c r="S58" s="14">
        <f t="shared" si="4"/>
        <v>3.7725026521194384E-3</v>
      </c>
      <c r="T58" s="14">
        <f t="shared" si="4"/>
        <v>2.1067730607135788E-3</v>
      </c>
      <c r="U58" s="14">
        <f t="shared" si="4"/>
        <v>2.3676034974427435E-3</v>
      </c>
      <c r="V58" s="14">
        <f t="shared" si="4"/>
        <v>2.0869604964351123E-3</v>
      </c>
      <c r="W58" s="14">
        <f t="shared" si="4"/>
        <v>2.3862702813386804E-3</v>
      </c>
      <c r="X58" s="14">
        <f t="shared" si="4"/>
        <v>1.2301832733111759E-3</v>
      </c>
      <c r="Y58" s="14">
        <f t="shared" si="4"/>
        <v>1.0053218996232082E-3</v>
      </c>
      <c r="Z58" s="14">
        <f t="shared" si="4"/>
        <v>1.0036563709288377E-3</v>
      </c>
      <c r="AA58" s="14">
        <f t="shared" si="4"/>
        <v>9.9670332703611633E-4</v>
      </c>
      <c r="AB58" s="14">
        <f t="shared" si="4"/>
        <v>1.0465171754378455E-3</v>
      </c>
      <c r="AC58" s="14">
        <f t="shared" si="4"/>
        <v>1.1823355980948699E-3</v>
      </c>
      <c r="AD58" s="14">
        <f t="shared" si="4"/>
        <v>6.269852777003317E-3</v>
      </c>
    </row>
    <row r="60" spans="1:32">
      <c r="C60" s="14" t="s">
        <v>182</v>
      </c>
      <c r="D60" s="14">
        <f>SUM(D58:AD58)</f>
        <v>0.99698700747683666</v>
      </c>
    </row>
    <row r="61" spans="1:32">
      <c r="C61" s="14" t="s">
        <v>183</v>
      </c>
      <c r="D61" s="14">
        <f>1-D60</f>
        <v>3.0129925231633381E-3</v>
      </c>
    </row>
    <row r="62" spans="1:32">
      <c r="C62" s="14" t="s">
        <v>184</v>
      </c>
      <c r="D62" s="14">
        <f>D61/COUNTIF(D58:AD58,"&gt;0")</f>
        <v>1.1159231567271622E-4</v>
      </c>
    </row>
    <row r="63" spans="1:32">
      <c r="AF63" s="14" t="s">
        <v>188</v>
      </c>
    </row>
    <row r="64" spans="1:32">
      <c r="C64" s="14" t="s">
        <v>179</v>
      </c>
      <c r="D64" s="14">
        <f>MAX(0,D58+$D62)</f>
        <v>7.2776236728059066E-2</v>
      </c>
      <c r="E64" s="14">
        <f t="shared" ref="E64:AD64" si="5">MAX(0,E58+$D62)</f>
        <v>0.12732240477930368</v>
      </c>
      <c r="F64" s="14">
        <f t="shared" si="5"/>
        <v>0.17659315208582629</v>
      </c>
      <c r="G64" s="14">
        <f t="shared" si="5"/>
        <v>0.16708181504511718</v>
      </c>
      <c r="H64" s="14">
        <f t="shared" si="5"/>
        <v>0.13508172802552101</v>
      </c>
      <c r="I64" s="14">
        <f t="shared" si="5"/>
        <v>9.803662080354239E-2</v>
      </c>
      <c r="J64" s="14">
        <f t="shared" si="5"/>
        <v>6.6533029351407216E-2</v>
      </c>
      <c r="K64" s="14">
        <f t="shared" si="5"/>
        <v>4.2665747639057769E-2</v>
      </c>
      <c r="L64" s="14">
        <f t="shared" si="5"/>
        <v>2.8076018764909932E-2</v>
      </c>
      <c r="M64" s="14">
        <f t="shared" si="5"/>
        <v>1.9311930095620267E-2</v>
      </c>
      <c r="N64" s="14">
        <f t="shared" si="5"/>
        <v>1.3579929026674415E-2</v>
      </c>
      <c r="O64" s="14">
        <f t="shared" si="5"/>
        <v>9.2337667158078375E-3</v>
      </c>
      <c r="P64" s="14">
        <f t="shared" si="5"/>
        <v>7.2091585133837351E-3</v>
      </c>
      <c r="Q64" s="14">
        <f t="shared" si="5"/>
        <v>4.8899784735180725E-3</v>
      </c>
      <c r="R64" s="14">
        <f t="shared" si="5"/>
        <v>4.8146957546936339E-3</v>
      </c>
      <c r="S64" s="14">
        <f t="shared" si="5"/>
        <v>3.8840949677921544E-3</v>
      </c>
      <c r="T64" s="14">
        <f t="shared" si="5"/>
        <v>2.2183653763862949E-3</v>
      </c>
      <c r="U64" s="14">
        <f t="shared" si="5"/>
        <v>2.4791958131154595E-3</v>
      </c>
      <c r="V64" s="14">
        <f t="shared" si="5"/>
        <v>2.1985528121078284E-3</v>
      </c>
      <c r="W64" s="14">
        <f t="shared" si="5"/>
        <v>2.4978625970113965E-3</v>
      </c>
      <c r="X64" s="14">
        <f t="shared" si="5"/>
        <v>1.3417755889838922E-3</v>
      </c>
      <c r="Y64" s="14">
        <f t="shared" si="5"/>
        <v>1.1169142152959244E-3</v>
      </c>
      <c r="Z64" s="14">
        <f t="shared" si="5"/>
        <v>1.1152486866015539E-3</v>
      </c>
      <c r="AA64" s="14">
        <f t="shared" si="5"/>
        <v>1.1082956427088326E-3</v>
      </c>
      <c r="AB64" s="14">
        <f t="shared" si="5"/>
        <v>1.1581094911105618E-3</v>
      </c>
      <c r="AC64" s="14">
        <f t="shared" si="5"/>
        <v>1.2939279137675862E-3</v>
      </c>
      <c r="AD64" s="14">
        <f t="shared" si="5"/>
        <v>6.381445092676033E-3</v>
      </c>
      <c r="AF64" s="16">
        <f>'Significant Decline in Use'!$AE$21-('Significant Decline in Use'!$AE$21*-'pred conserv percent - COMPAR'!A58)</f>
        <v>21806.400000000001</v>
      </c>
    </row>
    <row r="65" spans="3:32">
      <c r="C65" s="14" t="s">
        <v>187</v>
      </c>
      <c r="D65" s="14">
        <f>ROUND(D64*SUM('Significant Decline in Use'!$C$21:$AC$21),0)</f>
        <v>62908</v>
      </c>
      <c r="E65" s="14">
        <f>ROUND(E64*SUM('Significant Decline in Use'!$C$21:$AC$21),0)</f>
        <v>110058</v>
      </c>
      <c r="F65" s="14">
        <f>ROUND(F64*SUM('Significant Decline in Use'!$C$21:$AC$21),0)</f>
        <v>152648</v>
      </c>
      <c r="G65" s="14">
        <f>ROUND(G64*SUM('Significant Decline in Use'!$C$21:$AC$21),0)</f>
        <v>144426</v>
      </c>
      <c r="H65" s="14">
        <f>ROUND(H64*SUM('Significant Decline in Use'!$C$21:$AC$21),0)</f>
        <v>116765</v>
      </c>
      <c r="I65" s="14">
        <f>ROUND(I64*SUM('Significant Decline in Use'!$C$21:$AC$21),0)</f>
        <v>84743</v>
      </c>
      <c r="J65" s="14">
        <f>ROUND(J64*SUM('Significant Decline in Use'!$C$21:$AC$21),0)</f>
        <v>57511</v>
      </c>
      <c r="K65" s="14">
        <f>ROUND(K64*SUM('Significant Decline in Use'!$C$21:$AC$21),0)</f>
        <v>36880</v>
      </c>
      <c r="L65" s="14">
        <f>ROUND(L64*SUM('Significant Decline in Use'!$C$21:$AC$21),0)</f>
        <v>24269</v>
      </c>
      <c r="M65" s="14">
        <f>ROUND(M64*SUM('Significant Decline in Use'!$C$21:$AC$21),0)</f>
        <v>16693</v>
      </c>
      <c r="N65" s="14">
        <f>ROUND(N64*SUM('Significant Decline in Use'!$C$21:$AC$21),0)</f>
        <v>11739</v>
      </c>
      <c r="O65" s="14">
        <f>ROUND(O64*SUM('Significant Decline in Use'!$C$21:$AC$21),0)</f>
        <v>7982</v>
      </c>
      <c r="P65" s="14">
        <f>ROUND(P64*SUM('Significant Decline in Use'!$C$21:$AC$21),0)</f>
        <v>6232</v>
      </c>
      <c r="Q65" s="14">
        <f>ROUND(Q64*SUM('Significant Decline in Use'!$C$21:$AC$21),0)</f>
        <v>4227</v>
      </c>
      <c r="R65" s="14">
        <f>ROUND(R64*SUM('Significant Decline in Use'!$C$21:$AC$21),0)</f>
        <v>4162</v>
      </c>
      <c r="S65" s="14">
        <f>ROUND(S64*SUM('Significant Decline in Use'!$C$21:$AC$21),0)</f>
        <v>3357</v>
      </c>
      <c r="T65" s="14">
        <f>ROUND(T64*SUM('Significant Decline in Use'!$C$21:$AC$21),0)</f>
        <v>1918</v>
      </c>
      <c r="U65" s="14">
        <f>ROUND(U64*SUM('Significant Decline in Use'!$C$21:$AC$21),0)</f>
        <v>2143</v>
      </c>
      <c r="V65" s="14">
        <f>ROUND(V64*SUM('Significant Decline in Use'!$C$21:$AC$21),0)</f>
        <v>1900</v>
      </c>
      <c r="W65" s="14">
        <f>ROUND(W64*SUM('Significant Decline in Use'!$C$21:$AC$21),0)</f>
        <v>2159</v>
      </c>
      <c r="X65" s="14">
        <f>ROUND(X64*SUM('Significant Decline in Use'!$C$21:$AC$21),0)</f>
        <v>1160</v>
      </c>
      <c r="Y65" s="14">
        <f>ROUND(Y64*SUM('Significant Decline in Use'!$C$21:$AC$21),0)</f>
        <v>965</v>
      </c>
      <c r="Z65" s="14">
        <f>ROUND(Z64*SUM('Significant Decline in Use'!$C$21:$AC$21),0)</f>
        <v>964</v>
      </c>
      <c r="AA65" s="14">
        <f>ROUND(AA64*SUM('Significant Decline in Use'!$C$21:$AC$21),0)</f>
        <v>958</v>
      </c>
      <c r="AB65" s="14">
        <f>ROUND(AB64*SUM('Significant Decline in Use'!$C$21:$AC$21),0)</f>
        <v>1001</v>
      </c>
      <c r="AC65" s="14">
        <f>ROUND(AC64*SUM('Significant Decline in Use'!$C$21:$AC$21),0)</f>
        <v>1118</v>
      </c>
      <c r="AD65" s="17">
        <f>SUM('Significant Decline in Use'!$C$21:$AC$21)-SUM('pred conserv percent - COMPAR'!D65:AC65)</f>
        <v>5517</v>
      </c>
      <c r="AF65" s="18">
        <f>IF('Input COMPARATIVE Rates'!$C$6=Callouts!$N$2,'Input REFERENCE Rates'!S53,'Input COMPARATIVE Rates'!S53)</f>
        <v>60.515999999999998</v>
      </c>
    </row>
    <row r="66" spans="3:32">
      <c r="C66" s="14" t="s">
        <v>193</v>
      </c>
      <c r="D66" s="19">
        <f>D65*'Revenues from COMPARATIVE Rates'!C$110</f>
        <v>503264</v>
      </c>
      <c r="E66" s="19">
        <f>E65*'Revenues from COMPARATIVE Rates'!D$110</f>
        <v>1045551</v>
      </c>
      <c r="F66" s="19">
        <f>F65*'Revenues from COMPARATIVE Rates'!E$110</f>
        <v>1679128</v>
      </c>
      <c r="G66" s="19">
        <f>G65*'Revenues from COMPARATIVE Rates'!F$110</f>
        <v>1949751</v>
      </c>
      <c r="H66" s="19">
        <f>H65*'Revenues from COMPARATIVE Rates'!G$110</f>
        <v>1868240</v>
      </c>
      <c r="I66" s="19">
        <f>I65*'Revenues from COMPARATIVE Rates'!H$110</f>
        <v>1567745.5</v>
      </c>
      <c r="J66" s="19">
        <f>J65*'Revenues from COMPARATIVE Rates'!I$110</f>
        <v>1207731</v>
      </c>
      <c r="K66" s="19">
        <f>K65*'Revenues from COMPARATIVE Rates'!J$110</f>
        <v>866680</v>
      </c>
      <c r="L66" s="19">
        <f>L65*'Revenues from COMPARATIVE Rates'!K$110</f>
        <v>630994</v>
      </c>
      <c r="M66" s="19">
        <f>M65*'Revenues from COMPARATIVE Rates'!L$110</f>
        <v>475750.5</v>
      </c>
      <c r="N66" s="19">
        <f>N65*'Revenues from COMPARATIVE Rates'!M$110</f>
        <v>363909</v>
      </c>
      <c r="O66" s="19">
        <f>O65*'Revenues from COMPARATIVE Rates'!N$110</f>
        <v>267397</v>
      </c>
      <c r="P66" s="19">
        <f>P65*'Revenues from COMPARATIVE Rates'!O$110</f>
        <v>224352</v>
      </c>
      <c r="Q66" s="19">
        <f>Q65*'Revenues from COMPARATIVE Rates'!P$110</f>
        <v>162739.5</v>
      </c>
      <c r="R66" s="19">
        <f>R65*'Revenues from COMPARATIVE Rates'!Q$110</f>
        <v>170642</v>
      </c>
      <c r="S66" s="19">
        <f>S65*'Revenues from COMPARATIVE Rates'!R$110</f>
        <v>146029.5</v>
      </c>
      <c r="T66" s="19">
        <f>T65*'Revenues from COMPARATIVE Rates'!S$110</f>
        <v>88228</v>
      </c>
      <c r="U66" s="19">
        <f>U65*'Revenues from COMPARATIVE Rates'!T$110</f>
        <v>103935.5</v>
      </c>
      <c r="V66" s="19">
        <f>V65*'Revenues from COMPARATIVE Rates'!U$110</f>
        <v>96900</v>
      </c>
      <c r="W66" s="19">
        <f>W65*'Revenues from COMPARATIVE Rates'!V$110</f>
        <v>115506.5</v>
      </c>
      <c r="X66" s="19">
        <f>X65*'Revenues from COMPARATIVE Rates'!W$110</f>
        <v>64960</v>
      </c>
      <c r="Y66" s="19">
        <f>Y65*'Revenues from COMPARATIVE Rates'!X$110</f>
        <v>56452.5</v>
      </c>
      <c r="Z66" s="19">
        <f>Z65*'Revenues from COMPARATIVE Rates'!Y$110</f>
        <v>58804</v>
      </c>
      <c r="AA66" s="19">
        <f>AA65*'Revenues from COMPARATIVE Rates'!Z$110</f>
        <v>60833</v>
      </c>
      <c r="AB66" s="19">
        <f>AB65*'Revenues from COMPARATIVE Rates'!AA$110</f>
        <v>66066</v>
      </c>
      <c r="AC66" s="19">
        <f>AC65*'Revenues from COMPARATIVE Rates'!AB$110</f>
        <v>76583</v>
      </c>
      <c r="AD66" s="19">
        <f>AD65*AF65</f>
        <v>333866.772</v>
      </c>
    </row>
    <row r="67" spans="3:32">
      <c r="C67" s="14" t="s">
        <v>197</v>
      </c>
      <c r="D67" s="19">
        <f>D65*'Revenues from COMPARATIVE Rates'!$C$110</f>
        <v>503264</v>
      </c>
      <c r="E67" s="19">
        <f>E65*'Revenues from COMPARATIVE Rates'!$C$110</f>
        <v>880464</v>
      </c>
      <c r="F67" s="19">
        <f>F65*'Revenues from COMPARATIVE Rates'!$C$110</f>
        <v>1221184</v>
      </c>
      <c r="G67" s="19">
        <f>G65*'Revenues from COMPARATIVE Rates'!$C$110</f>
        <v>1155408</v>
      </c>
      <c r="H67" s="19">
        <f>H65*'Revenues from COMPARATIVE Rates'!$C$110</f>
        <v>934120</v>
      </c>
      <c r="I67" s="19">
        <f>I65*'Revenues from COMPARATIVE Rates'!$C$110</f>
        <v>677944</v>
      </c>
      <c r="J67" s="19">
        <f>J65*'Revenues from COMPARATIVE Rates'!$C$110</f>
        <v>460088</v>
      </c>
      <c r="K67" s="19">
        <f>K65*'Revenues from COMPARATIVE Rates'!$C$110</f>
        <v>295040</v>
      </c>
      <c r="L67" s="19">
        <f>L65*'Revenues from COMPARATIVE Rates'!$C$110</f>
        <v>194152</v>
      </c>
      <c r="M67" s="19">
        <f>M65*'Revenues from COMPARATIVE Rates'!$C$110</f>
        <v>133544</v>
      </c>
      <c r="N67" s="19">
        <f>N65*'Revenues from COMPARATIVE Rates'!$C$110</f>
        <v>93912</v>
      </c>
      <c r="O67" s="19">
        <f>O65*'Revenues from COMPARATIVE Rates'!$C$110</f>
        <v>63856</v>
      </c>
      <c r="P67" s="19">
        <f>P65*'Revenues from COMPARATIVE Rates'!$C$110</f>
        <v>49856</v>
      </c>
      <c r="Q67" s="19">
        <f>Q65*'Revenues from COMPARATIVE Rates'!$C$110</f>
        <v>33816</v>
      </c>
      <c r="R67" s="19">
        <f>R65*'Revenues from COMPARATIVE Rates'!$C$110</f>
        <v>33296</v>
      </c>
      <c r="S67" s="19">
        <f>S65*'Revenues from COMPARATIVE Rates'!$C$110</f>
        <v>26856</v>
      </c>
      <c r="T67" s="19">
        <f>T65*'Revenues from COMPARATIVE Rates'!$C$110</f>
        <v>15344</v>
      </c>
      <c r="U67" s="19">
        <f>U65*'Revenues from COMPARATIVE Rates'!$C$110</f>
        <v>17144</v>
      </c>
      <c r="V67" s="19">
        <f>V65*'Revenues from COMPARATIVE Rates'!$C$110</f>
        <v>15200</v>
      </c>
      <c r="W67" s="19">
        <f>W65*'Revenues from COMPARATIVE Rates'!$C$110</f>
        <v>17272</v>
      </c>
      <c r="X67" s="19">
        <f>X65*'Revenues from COMPARATIVE Rates'!$C$110</f>
        <v>9280</v>
      </c>
      <c r="Y67" s="19">
        <f>Y65*'Revenues from COMPARATIVE Rates'!$C$110</f>
        <v>7720</v>
      </c>
      <c r="Z67" s="19">
        <f>Z65*'Revenues from COMPARATIVE Rates'!$C$110</f>
        <v>7712</v>
      </c>
      <c r="AA67" s="19">
        <f>AA65*'Revenues from COMPARATIVE Rates'!$C$110</f>
        <v>7664</v>
      </c>
      <c r="AB67" s="19">
        <f>AB65*'Revenues from COMPARATIVE Rates'!$C$110</f>
        <v>8008</v>
      </c>
      <c r="AC67" s="19">
        <f>AC65*'Revenues from COMPARATIVE Rates'!$C$110</f>
        <v>8944</v>
      </c>
      <c r="AD67" s="19">
        <f>AD65*'Revenues from COMPARATIVE Rates'!$C$110</f>
        <v>44136</v>
      </c>
    </row>
    <row r="68" spans="3:32">
      <c r="C68" s="14" t="s">
        <v>194</v>
      </c>
      <c r="D68" s="19">
        <f>SUM(D66:AD66)</f>
        <v>14252039.272</v>
      </c>
    </row>
    <row r="69" spans="3:32">
      <c r="C69" s="14" t="s">
        <v>195</v>
      </c>
      <c r="D69" s="19">
        <f>SUM(D67:AD67)</f>
        <v>6915224</v>
      </c>
    </row>
    <row r="70" spans="3:32">
      <c r="C70" s="14" t="s">
        <v>196</v>
      </c>
      <c r="D70" s="19">
        <f>D68-D69</f>
        <v>7336815.2719999999</v>
      </c>
    </row>
    <row r="73" spans="3:32">
      <c r="D73" s="17"/>
    </row>
  </sheetData>
  <sheetProtection password="EB90" sheet="1" objects="1" scenarios="1" selectLockedCells="1" selectUnlockedCells="1"/>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BN68"/>
  <sheetViews>
    <sheetView showGridLines="0" zoomScaleNormal="100" workbookViewId="0">
      <pane ySplit="2" topLeftCell="A3" activePane="bottomLeft" state="frozen"/>
      <selection activeCell="I65" sqref="I65"/>
      <selection pane="bottomLeft" activeCell="L48" sqref="L48"/>
    </sheetView>
  </sheetViews>
  <sheetFormatPr defaultRowHeight="12.75"/>
  <cols>
    <col min="1" max="1" width="15.28515625" style="74" customWidth="1"/>
    <col min="2" max="10" width="9.140625" style="74" customWidth="1"/>
    <col min="11" max="11" width="26.85546875" style="74" customWidth="1"/>
    <col min="12" max="12" width="17.7109375" style="74" customWidth="1"/>
    <col min="13" max="14" width="17.7109375" style="75" customWidth="1"/>
    <col min="15" max="15" width="17" style="74" customWidth="1"/>
    <col min="16" max="16" width="9.140625" style="74" customWidth="1"/>
    <col min="17" max="16384" width="9.140625" style="74"/>
  </cols>
  <sheetData>
    <row r="1" spans="2:66" s="36" customFormat="1" ht="36.75" customHeight="1">
      <c r="B1" s="1056" t="s">
        <v>377</v>
      </c>
      <c r="C1" s="1056"/>
      <c r="D1" s="1056"/>
      <c r="E1" s="1056"/>
      <c r="F1" s="1056"/>
      <c r="G1" s="1056"/>
      <c r="H1" s="1056"/>
      <c r="I1" s="1056"/>
      <c r="J1" s="1056"/>
      <c r="K1" s="1056"/>
      <c r="L1" s="1056"/>
      <c r="M1" s="1056"/>
      <c r="N1" s="1056"/>
      <c r="O1" s="43"/>
      <c r="P1" s="43"/>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row>
    <row r="2" spans="2:66" s="34" customFormat="1" ht="36.75" customHeight="1">
      <c r="B2" s="1057" t="s">
        <v>510</v>
      </c>
      <c r="C2" s="1057"/>
      <c r="D2" s="1057"/>
      <c r="E2" s="1057"/>
      <c r="F2" s="1057"/>
      <c r="G2" s="1057"/>
      <c r="H2" s="1057"/>
      <c r="I2" s="1057"/>
      <c r="J2" s="1057"/>
      <c r="K2" s="1057"/>
      <c r="L2" s="1057"/>
      <c r="M2" s="1057"/>
      <c r="N2" s="1057"/>
      <c r="O2" s="73"/>
      <c r="P2" s="73"/>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row>
    <row r="3" spans="2:66" ht="13.5" thickBot="1"/>
    <row r="4" spans="2:66" s="77" customFormat="1" ht="41.25" customHeight="1" thickBot="1">
      <c r="B4" s="1173" t="s">
        <v>511</v>
      </c>
      <c r="C4" s="1174"/>
      <c r="D4" s="1174"/>
      <c r="E4" s="1174"/>
      <c r="F4" s="1174"/>
      <c r="G4" s="1174"/>
      <c r="H4" s="1174"/>
      <c r="I4" s="1174"/>
      <c r="J4" s="1174"/>
      <c r="K4" s="1174"/>
      <c r="L4" s="1174"/>
      <c r="M4" s="1174"/>
      <c r="N4" s="1175"/>
    </row>
    <row r="5" spans="2:66" s="77" customFormat="1" ht="14.25">
      <c r="B5" s="72" t="str">
        <f>IF('Input COMPARATIVE Rates'!$C$6=Callouts!$N$2,"Note: Based on user selection in the 'Input COMPARATIVE Rates' tab, COMPARATIVE rates are IDENTICAL to the REFERENCE rates.","")</f>
        <v/>
      </c>
      <c r="M5" s="78"/>
      <c r="N5" s="78"/>
    </row>
    <row r="6" spans="2:66" s="77" customFormat="1" ht="15" thickBot="1">
      <c r="M6" s="78"/>
      <c r="N6" s="78"/>
    </row>
    <row r="7" spans="2:66" s="77" customFormat="1" ht="54.75" customHeight="1">
      <c r="B7" s="1127" t="str">
        <f>"How do the total revenues compare under both rate structures if there is a reduction of 
"&amp;'Significant Decline in Use'!M32&amp;" in average water use and subsequent demand distribution shifts?"</f>
        <v>How do the total revenues compare under both rate structures if there is a reduction of 
10% - 20% in average water use and subsequent demand distribution shifts?</v>
      </c>
      <c r="C7" s="1128"/>
      <c r="D7" s="1128"/>
      <c r="E7" s="1128"/>
      <c r="F7" s="1128"/>
      <c r="G7" s="1128"/>
      <c r="H7" s="1128"/>
      <c r="I7" s="1128"/>
      <c r="J7" s="1128"/>
      <c r="K7" s="1128"/>
      <c r="L7" s="1128"/>
      <c r="M7" s="1128"/>
      <c r="N7" s="1129"/>
    </row>
    <row r="8" spans="2:66" s="77" customFormat="1" ht="15" thickBot="1">
      <c r="B8" s="82"/>
      <c r="C8" s="83"/>
      <c r="D8" s="83"/>
      <c r="E8" s="83"/>
      <c r="F8" s="83"/>
      <c r="G8" s="83"/>
      <c r="H8" s="83"/>
      <c r="I8" s="83"/>
      <c r="J8" s="83"/>
      <c r="K8" s="83"/>
      <c r="L8" s="83"/>
      <c r="M8" s="83"/>
      <c r="N8" s="84"/>
    </row>
    <row r="9" spans="2:66" s="77" customFormat="1" ht="14.25" customHeight="1">
      <c r="B9" s="82"/>
      <c r="C9" s="83"/>
      <c r="D9" s="83"/>
      <c r="E9" s="83"/>
      <c r="F9" s="83"/>
      <c r="G9" s="83"/>
      <c r="H9" s="83"/>
      <c r="I9" s="83"/>
      <c r="J9" s="83"/>
      <c r="K9" s="1171" t="s">
        <v>334</v>
      </c>
      <c r="L9" s="1167" t="s">
        <v>312</v>
      </c>
      <c r="M9" s="1169" t="s">
        <v>313</v>
      </c>
      <c r="N9" s="84"/>
      <c r="O9" s="1166" t="s">
        <v>333</v>
      </c>
    </row>
    <row r="10" spans="2:66" s="77" customFormat="1" ht="14.25" customHeight="1">
      <c r="B10" s="82"/>
      <c r="C10" s="83"/>
      <c r="D10" s="83"/>
      <c r="E10" s="83"/>
      <c r="F10" s="83"/>
      <c r="G10" s="83"/>
      <c r="H10" s="83"/>
      <c r="I10" s="83"/>
      <c r="J10" s="83"/>
      <c r="K10" s="1172"/>
      <c r="L10" s="1168"/>
      <c r="M10" s="1170"/>
      <c r="N10" s="84"/>
      <c r="O10" s="1166"/>
    </row>
    <row r="11" spans="2:66" s="77" customFormat="1" ht="22.5" customHeight="1">
      <c r="B11" s="82"/>
      <c r="C11" s="83"/>
      <c r="D11" s="83"/>
      <c r="E11" s="83"/>
      <c r="F11" s="83"/>
      <c r="G11" s="83"/>
      <c r="H11" s="83"/>
      <c r="I11" s="83"/>
      <c r="J11" s="83"/>
      <c r="K11" s="214" t="str">
        <f>'Significant Decline in Use'!E112</f>
        <v>10% reduction in avg use</v>
      </c>
      <c r="L11" s="104">
        <f>'Significant Decline in Use'!C113-'Significant Decline in Use'!E113</f>
        <v>1311000</v>
      </c>
      <c r="M11" s="212">
        <f>'Significant Decline in Use'!C121-'Significant Decline in Use'!E121</f>
        <v>1319000</v>
      </c>
      <c r="N11" s="84"/>
      <c r="O11" s="79"/>
    </row>
    <row r="12" spans="2:66" s="77" customFormat="1" ht="22.5" customHeight="1">
      <c r="B12" s="82"/>
      <c r="C12" s="83"/>
      <c r="D12" s="83"/>
      <c r="E12" s="83"/>
      <c r="F12" s="83"/>
      <c r="G12" s="83"/>
      <c r="H12" s="83"/>
      <c r="I12" s="83"/>
      <c r="J12" s="83"/>
      <c r="K12" s="214" t="str">
        <f>'Significant Decline in Use'!G112</f>
        <v>20% reduction in avg use</v>
      </c>
      <c r="L12" s="106">
        <f>'Significant Decline in Use'!C113-'Significant Decline in Use'!G113</f>
        <v>2181000</v>
      </c>
      <c r="M12" s="891">
        <f>'Significant Decline in Use'!C121-'Significant Decline in Use'!G121</f>
        <v>2167000</v>
      </c>
      <c r="N12" s="84"/>
      <c r="O12" s="79"/>
    </row>
    <row r="13" spans="2:66" s="77" customFormat="1" ht="11.25" customHeight="1">
      <c r="B13" s="82"/>
      <c r="C13" s="83"/>
      <c r="D13" s="83"/>
      <c r="E13" s="83"/>
      <c r="F13" s="83"/>
      <c r="G13" s="83"/>
      <c r="H13" s="83"/>
      <c r="I13" s="83"/>
      <c r="J13" s="83"/>
      <c r="K13" s="890"/>
      <c r="L13" s="209"/>
      <c r="M13" s="210"/>
      <c r="N13" s="84"/>
      <c r="O13" s="204"/>
    </row>
    <row r="14" spans="2:66" s="77" customFormat="1" ht="22.5" customHeight="1">
      <c r="B14" s="82"/>
      <c r="C14" s="83"/>
      <c r="D14" s="83"/>
      <c r="E14" s="83"/>
      <c r="F14" s="83"/>
      <c r="G14" s="83"/>
      <c r="H14" s="83"/>
      <c r="I14" s="83"/>
      <c r="J14" s="83"/>
      <c r="K14" s="214" t="str">
        <f>'Significant Decline in Use'!E120</f>
        <v>10% reduction in avg use</v>
      </c>
      <c r="L14" s="216">
        <f>L11/'Significant Decline in Use'!C113</f>
        <v>8.5085669781931467E-2</v>
      </c>
      <c r="M14" s="217">
        <f>M11/'Significant Decline in Use'!C121</f>
        <v>8.0333759668676535E-2</v>
      </c>
      <c r="N14" s="84"/>
      <c r="O14" s="205">
        <f>M14-L14</f>
        <v>-4.7519101132549313E-3</v>
      </c>
    </row>
    <row r="15" spans="2:66" s="77" customFormat="1" ht="22.5" customHeight="1" thickBot="1">
      <c r="B15" s="82"/>
      <c r="C15" s="83"/>
      <c r="D15" s="83"/>
      <c r="E15" s="83"/>
      <c r="F15" s="83"/>
      <c r="G15" s="83"/>
      <c r="H15" s="83"/>
      <c r="I15" s="83"/>
      <c r="J15" s="83"/>
      <c r="K15" s="215" t="str">
        <f>'Significant Decline in Use'!G120</f>
        <v>20% reduction in avg use</v>
      </c>
      <c r="L15" s="218">
        <f>L12/'Significant Decline in Use'!C113</f>
        <v>0.14154984423676012</v>
      </c>
      <c r="M15" s="219">
        <f>M12/'Significant Decline in Use'!C121</f>
        <v>0.13198124124489921</v>
      </c>
      <c r="N15" s="84"/>
      <c r="O15" s="206">
        <f>M15-L15</f>
        <v>-9.5686029918609083E-3</v>
      </c>
    </row>
    <row r="16" spans="2:66" s="77" customFormat="1" ht="12.75" customHeight="1">
      <c r="B16" s="82"/>
      <c r="C16" s="83"/>
      <c r="D16" s="83"/>
      <c r="E16" s="83"/>
      <c r="F16" s="83"/>
      <c r="G16" s="83"/>
      <c r="H16" s="83"/>
      <c r="I16" s="83"/>
      <c r="J16" s="83"/>
      <c r="K16" s="83"/>
      <c r="L16" s="83"/>
      <c r="M16" s="83"/>
      <c r="N16" s="84"/>
    </row>
    <row r="17" spans="2:18" s="77" customFormat="1" ht="12.75" customHeight="1">
      <c r="B17" s="82"/>
      <c r="C17" s="83"/>
      <c r="D17" s="83"/>
      <c r="E17" s="83"/>
      <c r="F17" s="83"/>
      <c r="G17" s="83"/>
      <c r="H17" s="83"/>
      <c r="I17" s="83"/>
      <c r="J17" s="83"/>
      <c r="K17" s="1070" t="str">
        <f>IF('Input COMPARATIVE Rates'!$C$6=Callouts!$N$2,"The comparative rate structure is identical to the reference rate structure. ",IF(O14&lt;0,"The comparative rate structure generates revenues that are MORE resilient to sudden and significant declines in residential water use than the revenues generated by the reference rate structure. ","The comparative rate structure generates revenues that are LESS resilient to sudden and significant declines in residential water use than the revenues generated by the reference rate structure. "))&amp;"Revenues under the"&amp;IF('Input COMPARATIVE Rates'!$C$6=Callouts!$N$2,""," comparative")&amp;" rate structure are projected to drop "&amp;ROUND(M14*100,1)&amp;"% - "&amp;ROUND(M15*100,1)&amp;"% for a "&amp;'Significant Decline in Use'!M32&amp;" reduction in average water use, and their related shifts in demand distribution."&amp;" These declines occur after including the effect of price elasticity when adjusting rates from the reference rate structure to the comparative rate structure."&amp;IF('Input COMPARATIVE Rates'!$C$6=Callouts!$N$2,""," By comparison, revenues under the reference rate structure are projected to drop "&amp;ROUND(L14*100,1)&amp;"% - "&amp;ROUND(L15*100,1)&amp;"% for the same declines in residential water use.")</f>
        <v>The comparative rate structure generates revenues that are MORE resilient to sudden and significant declines in residential water use than the revenues generated by the reference rate structure. Revenues under the comparative rate structure are projected to drop 8% - 13.2% for a 10% - 20% reduction in average water use, and their related shifts in demand distribution. These declines occur after including the effect of price elasticity when adjusting rates from the reference rate structure to the comparative rate structure. By comparison, revenues under the reference rate structure are projected to drop 8.5% - 14.2% for the same declines in residential water use.</v>
      </c>
      <c r="L17" s="1070"/>
      <c r="M17" s="1070"/>
      <c r="N17" s="1176"/>
      <c r="O17" s="208"/>
    </row>
    <row r="18" spans="2:18" s="77" customFormat="1" ht="14.25">
      <c r="B18" s="82"/>
      <c r="C18" s="83"/>
      <c r="D18" s="83"/>
      <c r="E18" s="83"/>
      <c r="F18" s="83"/>
      <c r="G18" s="83"/>
      <c r="H18" s="83"/>
      <c r="I18" s="83"/>
      <c r="J18" s="83"/>
      <c r="K18" s="1070"/>
      <c r="L18" s="1070"/>
      <c r="M18" s="1070"/>
      <c r="N18" s="1176"/>
      <c r="O18" s="208"/>
    </row>
    <row r="19" spans="2:18" s="77" customFormat="1" ht="14.25">
      <c r="B19" s="82"/>
      <c r="C19" s="83"/>
      <c r="D19" s="83"/>
      <c r="E19" s="83"/>
      <c r="F19" s="83"/>
      <c r="G19" s="83"/>
      <c r="H19" s="83"/>
      <c r="I19" s="83"/>
      <c r="J19" s="83"/>
      <c r="K19" s="1070"/>
      <c r="L19" s="1070"/>
      <c r="M19" s="1070"/>
      <c r="N19" s="1176"/>
      <c r="O19" s="208"/>
    </row>
    <row r="20" spans="2:18" s="77" customFormat="1" ht="14.25">
      <c r="B20" s="82"/>
      <c r="C20" s="83"/>
      <c r="D20" s="83"/>
      <c r="E20" s="83"/>
      <c r="F20" s="83"/>
      <c r="G20" s="83"/>
      <c r="H20" s="83"/>
      <c r="I20" s="83"/>
      <c r="J20" s="83"/>
      <c r="K20" s="1070"/>
      <c r="L20" s="1070"/>
      <c r="M20" s="1070"/>
      <c r="N20" s="1176"/>
      <c r="O20" s="208"/>
    </row>
    <row r="21" spans="2:18" s="77" customFormat="1" ht="14.25">
      <c r="B21" s="82"/>
      <c r="C21" s="83"/>
      <c r="D21" s="83"/>
      <c r="E21" s="83"/>
      <c r="F21" s="83"/>
      <c r="G21" s="83"/>
      <c r="H21" s="83"/>
      <c r="I21" s="83"/>
      <c r="J21" s="83"/>
      <c r="K21" s="1070"/>
      <c r="L21" s="1070"/>
      <c r="M21" s="1070"/>
      <c r="N21" s="1176"/>
      <c r="O21" s="208"/>
    </row>
    <row r="22" spans="2:18" s="77" customFormat="1" ht="14.25">
      <c r="B22" s="82"/>
      <c r="C22" s="83"/>
      <c r="D22" s="83"/>
      <c r="E22" s="83"/>
      <c r="F22" s="83"/>
      <c r="G22" s="83"/>
      <c r="H22" s="83"/>
      <c r="I22" s="83"/>
      <c r="J22" s="83"/>
      <c r="K22" s="1070"/>
      <c r="L22" s="1070"/>
      <c r="M22" s="1070"/>
      <c r="N22" s="1176"/>
      <c r="O22" s="208"/>
    </row>
    <row r="23" spans="2:18" s="77" customFormat="1" ht="14.25">
      <c r="B23" s="82"/>
      <c r="C23" s="83"/>
      <c r="D23" s="83"/>
      <c r="E23" s="83"/>
      <c r="F23" s="83"/>
      <c r="G23" s="83"/>
      <c r="H23" s="83"/>
      <c r="I23" s="83"/>
      <c r="J23" s="83"/>
      <c r="K23" s="1070"/>
      <c r="L23" s="1070"/>
      <c r="M23" s="1070"/>
      <c r="N23" s="1176"/>
      <c r="O23" s="208"/>
    </row>
    <row r="24" spans="2:18" s="77" customFormat="1" ht="14.25">
      <c r="B24" s="82"/>
      <c r="C24" s="83"/>
      <c r="D24" s="83"/>
      <c r="E24" s="83"/>
      <c r="F24" s="83"/>
      <c r="G24" s="83"/>
      <c r="H24" s="83"/>
      <c r="I24" s="83"/>
      <c r="J24" s="83"/>
      <c r="K24" s="1070"/>
      <c r="L24" s="1070"/>
      <c r="M24" s="1070"/>
      <c r="N24" s="1176"/>
      <c r="O24" s="208"/>
    </row>
    <row r="25" spans="2:18" s="77" customFormat="1" ht="14.25">
      <c r="B25" s="82"/>
      <c r="C25" s="83"/>
      <c r="D25" s="83"/>
      <c r="E25" s="83"/>
      <c r="F25" s="83"/>
      <c r="G25" s="83"/>
      <c r="H25" s="83"/>
      <c r="I25" s="83"/>
      <c r="J25" s="83"/>
      <c r="K25" s="1070"/>
      <c r="L25" s="1070"/>
      <c r="M25" s="1070"/>
      <c r="N25" s="1176"/>
      <c r="O25" s="208"/>
    </row>
    <row r="26" spans="2:18" s="77" customFormat="1" ht="14.25">
      <c r="B26" s="82"/>
      <c r="C26" s="83"/>
      <c r="D26" s="83"/>
      <c r="E26" s="83"/>
      <c r="F26" s="83"/>
      <c r="G26" s="83"/>
      <c r="H26" s="83"/>
      <c r="I26" s="83"/>
      <c r="J26" s="83"/>
      <c r="K26" s="1070"/>
      <c r="L26" s="1070"/>
      <c r="M26" s="1070"/>
      <c r="N26" s="1176"/>
      <c r="O26" s="208"/>
    </row>
    <row r="27" spans="2:18" s="77" customFormat="1" ht="14.25">
      <c r="B27" s="82"/>
      <c r="C27" s="83"/>
      <c r="D27" s="83"/>
      <c r="E27" s="83"/>
      <c r="F27" s="83"/>
      <c r="G27" s="83"/>
      <c r="H27" s="83"/>
      <c r="I27" s="83"/>
      <c r="J27" s="83"/>
      <c r="K27" s="1070"/>
      <c r="L27" s="1070"/>
      <c r="M27" s="1070"/>
      <c r="N27" s="1176"/>
      <c r="O27" s="208"/>
    </row>
    <row r="28" spans="2:18" s="77" customFormat="1" ht="18.75" customHeight="1">
      <c r="B28" s="82"/>
      <c r="C28" s="83"/>
      <c r="D28" s="83"/>
      <c r="E28" s="83"/>
      <c r="F28" s="83"/>
      <c r="G28" s="83"/>
      <c r="H28" s="83"/>
      <c r="I28" s="83"/>
      <c r="J28" s="83"/>
      <c r="K28" s="1070"/>
      <c r="L28" s="1070"/>
      <c r="M28" s="1070"/>
      <c r="N28" s="1176"/>
      <c r="O28" s="207"/>
    </row>
    <row r="29" spans="2:18" s="77" customFormat="1" ht="15.75" thickBot="1">
      <c r="B29" s="88"/>
      <c r="C29" s="89"/>
      <c r="D29" s="89"/>
      <c r="E29" s="89"/>
      <c r="F29" s="89"/>
      <c r="G29" s="89"/>
      <c r="H29" s="89"/>
      <c r="I29" s="89"/>
      <c r="J29" s="89"/>
      <c r="K29" s="89"/>
      <c r="L29" s="89"/>
      <c r="M29" s="89"/>
      <c r="N29" s="90"/>
      <c r="R29" s="76"/>
    </row>
    <row r="30" spans="2:18" s="77" customFormat="1" ht="14.25">
      <c r="M30" s="78"/>
      <c r="N30" s="78"/>
    </row>
    <row r="31" spans="2:18" s="77" customFormat="1" ht="15" thickBot="1">
      <c r="M31" s="78"/>
      <c r="N31" s="78"/>
    </row>
    <row r="32" spans="2:18" s="77" customFormat="1" ht="54.75" customHeight="1">
      <c r="B32" s="1127" t="s">
        <v>512</v>
      </c>
      <c r="C32" s="1128"/>
      <c r="D32" s="1128"/>
      <c r="E32" s="1128"/>
      <c r="F32" s="1128"/>
      <c r="G32" s="1128"/>
      <c r="H32" s="1128"/>
      <c r="I32" s="1128"/>
      <c r="J32" s="1128"/>
      <c r="K32" s="1128"/>
      <c r="L32" s="1128"/>
      <c r="M32" s="1128"/>
      <c r="N32" s="1129"/>
    </row>
    <row r="33" spans="1:19" s="77" customFormat="1" ht="15" thickBot="1">
      <c r="A33" s="80"/>
      <c r="B33" s="82"/>
      <c r="C33" s="83"/>
      <c r="D33" s="83"/>
      <c r="E33" s="83"/>
      <c r="F33" s="83"/>
      <c r="G33" s="83"/>
      <c r="H33" s="83"/>
      <c r="I33" s="83"/>
      <c r="J33" s="83"/>
      <c r="K33" s="83"/>
      <c r="L33" s="83"/>
      <c r="M33" s="83"/>
      <c r="N33" s="84"/>
      <c r="P33" s="81"/>
    </row>
    <row r="34" spans="1:19" s="77" customFormat="1" ht="30">
      <c r="A34" s="80"/>
      <c r="B34" s="82"/>
      <c r="C34" s="83"/>
      <c r="D34" s="83"/>
      <c r="E34" s="83"/>
      <c r="F34" s="83"/>
      <c r="G34" s="83"/>
      <c r="H34" s="83"/>
      <c r="I34" s="83"/>
      <c r="J34" s="83"/>
      <c r="K34" s="224" t="s">
        <v>335</v>
      </c>
      <c r="L34" s="225" t="s">
        <v>312</v>
      </c>
      <c r="M34" s="225" t="s">
        <v>313</v>
      </c>
      <c r="N34" s="226" t="s">
        <v>333</v>
      </c>
      <c r="P34" s="81"/>
    </row>
    <row r="35" spans="1:19" s="77" customFormat="1" ht="20.25" customHeight="1">
      <c r="A35" s="80"/>
      <c r="B35" s="82"/>
      <c r="C35" s="83"/>
      <c r="D35" s="83"/>
      <c r="E35" s="83"/>
      <c r="F35" s="83"/>
      <c r="G35" s="83"/>
      <c r="H35" s="83"/>
      <c r="I35" s="83"/>
      <c r="J35" s="83"/>
      <c r="K35" s="214" t="s">
        <v>336</v>
      </c>
      <c r="L35" s="104">
        <f>'Significant Decline in Use'!C113</f>
        <v>15408000</v>
      </c>
      <c r="M35" s="104">
        <f>'Significant Decline in Use'!C121</f>
        <v>16419000</v>
      </c>
      <c r="N35" s="105">
        <f>M35-L35</f>
        <v>1011000</v>
      </c>
      <c r="P35" s="81"/>
      <c r="Q35" s="81"/>
      <c r="R35" s="81"/>
      <c r="S35" s="81"/>
    </row>
    <row r="36" spans="1:19" s="77" customFormat="1" ht="20.25" customHeight="1">
      <c r="A36" s="80"/>
      <c r="B36" s="82"/>
      <c r="C36" s="83"/>
      <c r="D36" s="83"/>
      <c r="E36" s="83"/>
      <c r="F36" s="83"/>
      <c r="G36" s="83"/>
      <c r="H36" s="83"/>
      <c r="I36" s="83"/>
      <c r="J36" s="83"/>
      <c r="K36" s="214" t="str">
        <f>K11</f>
        <v>10% reduction in avg use</v>
      </c>
      <c r="L36" s="106">
        <f>'Significant Decline in Use'!E113</f>
        <v>14097000</v>
      </c>
      <c r="M36" s="106">
        <f>'Significant Decline in Use'!E121</f>
        <v>15100000</v>
      </c>
      <c r="N36" s="107">
        <f>M36-L36</f>
        <v>1003000</v>
      </c>
      <c r="P36" s="81"/>
      <c r="Q36" s="81"/>
      <c r="R36" s="81"/>
      <c r="S36" s="81"/>
    </row>
    <row r="37" spans="1:19" s="77" customFormat="1" ht="20.25" customHeight="1">
      <c r="A37" s="80"/>
      <c r="B37" s="82"/>
      <c r="C37" s="83"/>
      <c r="D37" s="83"/>
      <c r="E37" s="83"/>
      <c r="F37" s="83"/>
      <c r="G37" s="83"/>
      <c r="H37" s="83"/>
      <c r="I37" s="83"/>
      <c r="J37" s="83"/>
      <c r="K37" s="214" t="str">
        <f>ROUND('Significant Decline in Use'!D30*-100,0)&amp;"% reduction in avg use"</f>
        <v>15% reduction in avg use</v>
      </c>
      <c r="L37" s="106">
        <f>'Significant Decline in Use'!E92</f>
        <v>13706000</v>
      </c>
      <c r="M37" s="106">
        <f>'Significant Decline in Use'!E101</f>
        <v>14744000</v>
      </c>
      <c r="N37" s="107">
        <f>M37-L37</f>
        <v>1038000</v>
      </c>
      <c r="P37" s="81"/>
      <c r="Q37" s="81"/>
      <c r="R37" s="81"/>
      <c r="S37" s="81"/>
    </row>
    <row r="38" spans="1:19" s="77" customFormat="1" ht="20.25" customHeight="1" thickBot="1">
      <c r="A38" s="80"/>
      <c r="B38" s="82"/>
      <c r="C38" s="83"/>
      <c r="D38" s="83"/>
      <c r="E38" s="83"/>
      <c r="F38" s="83"/>
      <c r="G38" s="83"/>
      <c r="H38" s="83"/>
      <c r="I38" s="83"/>
      <c r="J38" s="83"/>
      <c r="K38" s="215" t="str">
        <f>K12</f>
        <v>20% reduction in avg use</v>
      </c>
      <c r="L38" s="109">
        <f>'Significant Decline in Use'!G113</f>
        <v>13227000</v>
      </c>
      <c r="M38" s="109">
        <f>'Significant Decline in Use'!G121</f>
        <v>14252000</v>
      </c>
      <c r="N38" s="223">
        <f>M38-L38</f>
        <v>1025000</v>
      </c>
      <c r="P38" s="81"/>
      <c r="Q38" s="81"/>
      <c r="R38" s="81"/>
      <c r="S38" s="81"/>
    </row>
    <row r="39" spans="1:19" s="77" customFormat="1" ht="14.25">
      <c r="A39" s="80"/>
      <c r="B39" s="82"/>
      <c r="C39" s="83"/>
      <c r="D39" s="83"/>
      <c r="E39" s="83"/>
      <c r="F39" s="83"/>
      <c r="G39" s="83"/>
      <c r="H39" s="83"/>
      <c r="I39" s="83"/>
      <c r="J39" s="83"/>
      <c r="K39" s="83"/>
      <c r="L39" s="83"/>
      <c r="M39" s="220"/>
      <c r="N39" s="103"/>
      <c r="O39" s="81"/>
      <c r="P39" s="81"/>
      <c r="Q39" s="81"/>
      <c r="R39" s="81"/>
      <c r="S39" s="81"/>
    </row>
    <row r="40" spans="1:19" s="77" customFormat="1" ht="14.25">
      <c r="A40" s="80"/>
      <c r="B40" s="82"/>
      <c r="C40" s="83"/>
      <c r="D40" s="83"/>
      <c r="E40" s="83"/>
      <c r="F40" s="83"/>
      <c r="G40" s="83"/>
      <c r="H40" s="83"/>
      <c r="I40" s="83"/>
      <c r="J40" s="83"/>
      <c r="K40" s="83"/>
      <c r="L40" s="83"/>
      <c r="M40" s="220"/>
      <c r="N40" s="103"/>
      <c r="O40" s="81"/>
      <c r="P40" s="81"/>
      <c r="Q40" s="81"/>
      <c r="R40" s="81"/>
      <c r="S40" s="81"/>
    </row>
    <row r="41" spans="1:19" s="77" customFormat="1" ht="14.25">
      <c r="A41" s="80"/>
      <c r="B41" s="82"/>
      <c r="C41" s="83"/>
      <c r="D41" s="83"/>
      <c r="E41" s="83"/>
      <c r="F41" s="83"/>
      <c r="G41" s="83"/>
      <c r="H41" s="83"/>
      <c r="I41" s="83"/>
      <c r="J41" s="83"/>
      <c r="K41" s="83"/>
      <c r="L41" s="83"/>
      <c r="M41" s="220"/>
      <c r="N41" s="103"/>
      <c r="O41" s="81"/>
      <c r="P41" s="81"/>
      <c r="Q41" s="81"/>
      <c r="R41" s="81"/>
      <c r="S41" s="81"/>
    </row>
    <row r="42" spans="1:19" s="77" customFormat="1" ht="14.25">
      <c r="A42" s="80"/>
      <c r="B42" s="82"/>
      <c r="C42" s="83"/>
      <c r="D42" s="83"/>
      <c r="E42" s="83"/>
      <c r="F42" s="83"/>
      <c r="G42" s="83"/>
      <c r="H42" s="83"/>
      <c r="I42" s="83"/>
      <c r="J42" s="83"/>
      <c r="K42" s="83"/>
      <c r="L42" s="83"/>
      <c r="M42" s="220"/>
      <c r="N42" s="103"/>
      <c r="O42" s="81"/>
      <c r="P42" s="81"/>
      <c r="Q42" s="81"/>
      <c r="R42" s="81"/>
      <c r="S42" s="81"/>
    </row>
    <row r="43" spans="1:19" s="77" customFormat="1" ht="14.25">
      <c r="A43" s="80"/>
      <c r="B43" s="82"/>
      <c r="C43" s="83"/>
      <c r="D43" s="83"/>
      <c r="E43" s="83"/>
      <c r="F43" s="83"/>
      <c r="G43" s="83"/>
      <c r="H43" s="83"/>
      <c r="I43" s="83"/>
      <c r="J43" s="83"/>
      <c r="K43" s="83"/>
      <c r="L43" s="83"/>
      <c r="M43" s="220"/>
      <c r="N43" s="103"/>
      <c r="O43" s="81"/>
      <c r="P43" s="81"/>
      <c r="Q43" s="81"/>
      <c r="R43" s="81"/>
      <c r="S43" s="81"/>
    </row>
    <row r="44" spans="1:19" s="77" customFormat="1" ht="14.25">
      <c r="A44" s="80"/>
      <c r="B44" s="82"/>
      <c r="C44" s="83"/>
      <c r="D44" s="83"/>
      <c r="E44" s="83"/>
      <c r="F44" s="83"/>
      <c r="G44" s="83"/>
      <c r="H44" s="83"/>
      <c r="I44" s="83"/>
      <c r="J44" s="83"/>
      <c r="K44" s="83"/>
      <c r="L44" s="83"/>
      <c r="M44" s="220"/>
      <c r="N44" s="103"/>
      <c r="O44" s="81"/>
      <c r="P44" s="81"/>
      <c r="Q44" s="81"/>
      <c r="R44" s="81"/>
      <c r="S44" s="81"/>
    </row>
    <row r="45" spans="1:19" s="77" customFormat="1" ht="14.25">
      <c r="A45" s="80"/>
      <c r="B45" s="82"/>
      <c r="C45" s="83"/>
      <c r="D45" s="83"/>
      <c r="E45" s="83"/>
      <c r="F45" s="83"/>
      <c r="G45" s="83"/>
      <c r="H45" s="83"/>
      <c r="I45" s="83"/>
      <c r="J45" s="83"/>
      <c r="K45" s="83"/>
      <c r="L45" s="83"/>
      <c r="M45" s="220"/>
      <c r="N45" s="103"/>
      <c r="O45" s="81"/>
      <c r="P45" s="81"/>
      <c r="Q45" s="81"/>
      <c r="R45" s="81"/>
      <c r="S45" s="81"/>
    </row>
    <row r="46" spans="1:19" s="77" customFormat="1" ht="14.25">
      <c r="A46" s="80"/>
      <c r="B46" s="82"/>
      <c r="C46" s="83"/>
      <c r="D46" s="83"/>
      <c r="E46" s="83"/>
      <c r="F46" s="83"/>
      <c r="G46" s="83"/>
      <c r="H46" s="83"/>
      <c r="I46" s="83"/>
      <c r="J46" s="83"/>
      <c r="K46" s="83"/>
      <c r="L46" s="83"/>
      <c r="M46" s="220"/>
      <c r="N46" s="103"/>
      <c r="O46" s="81"/>
      <c r="P46" s="81"/>
      <c r="Q46" s="81"/>
      <c r="R46" s="81"/>
      <c r="S46" s="81"/>
    </row>
    <row r="47" spans="1:19" s="77" customFormat="1" ht="14.25">
      <c r="A47" s="80"/>
      <c r="B47" s="82"/>
      <c r="C47" s="83"/>
      <c r="D47" s="83"/>
      <c r="E47" s="83"/>
      <c r="F47" s="83"/>
      <c r="G47" s="83"/>
      <c r="H47" s="83"/>
      <c r="I47" s="83"/>
      <c r="J47" s="83"/>
      <c r="K47" s="83"/>
      <c r="L47" s="83"/>
      <c r="M47" s="220"/>
      <c r="N47" s="103"/>
      <c r="O47" s="81"/>
      <c r="P47" s="81"/>
      <c r="Q47" s="81"/>
      <c r="R47" s="81"/>
      <c r="S47" s="81"/>
    </row>
    <row r="48" spans="1:19" s="77" customFormat="1" ht="14.25">
      <c r="A48" s="80"/>
      <c r="B48" s="82"/>
      <c r="C48" s="83"/>
      <c r="D48" s="83"/>
      <c r="E48" s="83"/>
      <c r="F48" s="83"/>
      <c r="G48" s="83"/>
      <c r="H48" s="83"/>
      <c r="I48" s="83"/>
      <c r="J48" s="83"/>
      <c r="K48" s="83"/>
      <c r="L48" s="83"/>
      <c r="M48" s="220"/>
      <c r="N48" s="103"/>
      <c r="O48" s="81"/>
      <c r="P48" s="81"/>
      <c r="Q48" s="81"/>
      <c r="R48" s="81"/>
      <c r="S48" s="81"/>
    </row>
    <row r="49" spans="1:19" s="77" customFormat="1" ht="14.25">
      <c r="A49" s="80"/>
      <c r="B49" s="82"/>
      <c r="C49" s="83"/>
      <c r="D49" s="83"/>
      <c r="E49" s="83"/>
      <c r="F49" s="83"/>
      <c r="G49" s="83"/>
      <c r="H49" s="83"/>
      <c r="I49" s="83"/>
      <c r="J49" s="83"/>
      <c r="K49" s="83"/>
      <c r="L49" s="83"/>
      <c r="M49" s="220"/>
      <c r="N49" s="103"/>
      <c r="O49" s="81"/>
      <c r="P49" s="81"/>
      <c r="Q49" s="81"/>
      <c r="R49" s="81"/>
      <c r="S49" s="81"/>
    </row>
    <row r="50" spans="1:19" s="77" customFormat="1" ht="14.25">
      <c r="A50" s="80"/>
      <c r="B50" s="82"/>
      <c r="C50" s="83"/>
      <c r="D50" s="83"/>
      <c r="E50" s="83"/>
      <c r="F50" s="83"/>
      <c r="G50" s="83"/>
      <c r="H50" s="83"/>
      <c r="I50" s="83"/>
      <c r="J50" s="83"/>
      <c r="K50" s="83"/>
      <c r="L50" s="83"/>
      <c r="M50" s="220"/>
      <c r="N50" s="103"/>
      <c r="O50" s="81"/>
      <c r="P50" s="81"/>
      <c r="Q50" s="81"/>
      <c r="R50" s="81"/>
      <c r="S50" s="81"/>
    </row>
    <row r="51" spans="1:19" s="77" customFormat="1" ht="15" thickBot="1">
      <c r="A51" s="80"/>
      <c r="B51" s="88"/>
      <c r="C51" s="89"/>
      <c r="D51" s="89"/>
      <c r="E51" s="89"/>
      <c r="F51" s="89"/>
      <c r="G51" s="89"/>
      <c r="H51" s="89"/>
      <c r="I51" s="89"/>
      <c r="J51" s="89"/>
      <c r="K51" s="89"/>
      <c r="L51" s="89"/>
      <c r="M51" s="221"/>
      <c r="N51" s="222"/>
      <c r="O51" s="81"/>
      <c r="P51" s="81"/>
      <c r="Q51" s="81"/>
      <c r="R51" s="81"/>
      <c r="S51" s="81"/>
    </row>
    <row r="52" spans="1:19" s="77" customFormat="1" ht="14.25">
      <c r="A52" s="80"/>
      <c r="B52" s="78"/>
      <c r="C52" s="78"/>
      <c r="D52" s="78"/>
      <c r="E52" s="78"/>
      <c r="F52" s="78"/>
      <c r="G52" s="78"/>
      <c r="H52" s="78"/>
      <c r="I52" s="78"/>
      <c r="J52" s="78"/>
      <c r="K52" s="78"/>
      <c r="L52" s="78"/>
      <c r="M52" s="81"/>
      <c r="N52" s="81"/>
      <c r="O52" s="81"/>
      <c r="P52" s="81"/>
    </row>
    <row r="53" spans="1:19" s="77" customFormat="1" ht="14.25">
      <c r="A53" s="80"/>
      <c r="B53" s="1055"/>
      <c r="C53" s="1055"/>
      <c r="D53" s="1055"/>
      <c r="E53" s="1055"/>
      <c r="F53" s="1055"/>
      <c r="G53" s="1055"/>
      <c r="H53" s="1055"/>
      <c r="I53" s="1055"/>
      <c r="J53" s="1055"/>
      <c r="K53" s="1055"/>
      <c r="L53" s="1055"/>
      <c r="M53" s="1055"/>
      <c r="N53" s="1055"/>
      <c r="O53" s="81"/>
      <c r="P53" s="81"/>
    </row>
    <row r="54" spans="1:19" s="77" customFormat="1" ht="14.25">
      <c r="A54" s="80"/>
      <c r="B54" s="78"/>
      <c r="C54" s="78"/>
      <c r="D54" s="78"/>
      <c r="E54" s="78"/>
      <c r="F54" s="78"/>
      <c r="G54" s="78"/>
      <c r="H54" s="78"/>
      <c r="I54" s="78"/>
      <c r="J54" s="78"/>
      <c r="K54" s="78"/>
      <c r="L54" s="78"/>
      <c r="M54" s="78"/>
      <c r="N54" s="78"/>
    </row>
    <row r="55" spans="1:19" s="77" customFormat="1" ht="14.25">
      <c r="A55" s="80"/>
      <c r="B55" s="78"/>
      <c r="C55" s="78"/>
      <c r="D55" s="78"/>
      <c r="E55" s="78"/>
      <c r="F55" s="78"/>
      <c r="G55" s="78"/>
      <c r="H55" s="78"/>
      <c r="I55" s="78"/>
      <c r="J55" s="78"/>
      <c r="K55" s="78"/>
      <c r="L55" s="78"/>
      <c r="M55" s="78"/>
      <c r="N55" s="78"/>
    </row>
    <row r="56" spans="1:19" s="77" customFormat="1" ht="14.25">
      <c r="A56" s="80"/>
      <c r="B56" s="78"/>
      <c r="C56" s="78"/>
      <c r="D56" s="78"/>
      <c r="E56" s="78"/>
      <c r="F56" s="78"/>
      <c r="G56" s="78"/>
      <c r="H56" s="78"/>
      <c r="I56" s="78"/>
      <c r="J56" s="78"/>
      <c r="K56" s="78"/>
      <c r="L56" s="78"/>
      <c r="M56" s="78"/>
      <c r="N56" s="78"/>
    </row>
    <row r="57" spans="1:19" s="77" customFormat="1" ht="14.25">
      <c r="A57" s="80"/>
      <c r="B57" s="78"/>
      <c r="C57" s="78"/>
      <c r="D57" s="78"/>
      <c r="E57" s="78"/>
      <c r="F57" s="78"/>
      <c r="G57" s="78"/>
      <c r="H57" s="78"/>
      <c r="I57" s="78"/>
      <c r="J57" s="78"/>
      <c r="K57" s="78"/>
      <c r="L57" s="78"/>
      <c r="M57" s="78"/>
      <c r="N57" s="78"/>
    </row>
    <row r="68" spans="3:3">
      <c r="C68" s="227"/>
    </row>
  </sheetData>
  <sheetProtection password="EB90" sheet="1" objects="1" scenarios="1" selectLockedCells="1" selectUnlockedCells="1"/>
  <mergeCells count="11">
    <mergeCell ref="B53:N53"/>
    <mergeCell ref="B4:N4"/>
    <mergeCell ref="B7:N7"/>
    <mergeCell ref="B32:N32"/>
    <mergeCell ref="K17:N28"/>
    <mergeCell ref="B1:N1"/>
    <mergeCell ref="B2:N2"/>
    <mergeCell ref="O9:O10"/>
    <mergeCell ref="L9:L10"/>
    <mergeCell ref="M9:M10"/>
    <mergeCell ref="K9:K10"/>
  </mergeCells>
  <printOptions horizontalCentered="1" verticalCentered="1"/>
  <pageMargins left="0.16" right="0.2" top="0.25" bottom="0.55000000000000004" header="0.16" footer="0.26"/>
  <pageSetup scale="80" orientation="portrait" horizontalDpi="300" verticalDpi="300" r:id="rId1"/>
  <headerFooter alignWithMargins="0">
    <oddFooter>&amp;L&amp;6&amp;D   &amp;T   &amp;Z&amp;F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EFD653-A8DF-41AF-8878-FDA9153A3574}"/>
</file>

<file path=customXml/itemProps2.xml><?xml version="1.0" encoding="utf-8"?>
<ds:datastoreItem xmlns:ds="http://schemas.openxmlformats.org/officeDocument/2006/customXml" ds:itemID="{A04A148B-C816-4347-AB43-0B9EF5940596}"/>
</file>

<file path=customXml/itemProps3.xml><?xml version="1.0" encoding="utf-8"?>
<ds:datastoreItem xmlns:ds="http://schemas.openxmlformats.org/officeDocument/2006/customXml" ds:itemID="{8BF4262E-BAAD-4727-99D7-E77C86B1CB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Callouts</vt:lpstr>
      <vt:lpstr>Introduction</vt:lpstr>
      <vt:lpstr>Instructions and Data Needs</vt:lpstr>
      <vt:lpstr>Input REFERENCE Rates</vt:lpstr>
      <vt:lpstr>Input COMPARATIVE Rates</vt:lpstr>
      <vt:lpstr>Revenues from REFERENCE Rates</vt:lpstr>
      <vt:lpstr>Revenues from COMPARATIVE Rates</vt:lpstr>
      <vt:lpstr>Compare - only changing rates</vt:lpstr>
      <vt:lpstr>Normal Weather Change</vt:lpstr>
      <vt:lpstr>Compare - Normal Weather Change</vt:lpstr>
      <vt:lpstr>Significant Decline in Use</vt:lpstr>
      <vt:lpstr>pred conserv percent - REFEREN</vt:lpstr>
      <vt:lpstr>pred conserv percent - COMPAR</vt:lpstr>
      <vt:lpstr>Compare - Signif Decline in Use</vt:lpstr>
      <vt:lpstr>'Input COMPARATIVE Rates'!BillingPeriod</vt:lpstr>
      <vt:lpstr>BillingPeriod</vt:lpstr>
      <vt:lpstr>CALLOUTBillPeriod</vt:lpstr>
      <vt:lpstr>CALLPeriod</vt:lpstr>
      <vt:lpstr>'Input COMPARATIVE Rates'!periodmultiplier</vt:lpstr>
      <vt:lpstr>periodmultiplier</vt:lpstr>
      <vt:lpstr>'Compare - only changing rates'!Print_Area</vt:lpstr>
      <vt:lpstr>'Compare - Signif Decline in Use'!Print_Area</vt:lpstr>
      <vt:lpstr>'Input COMPARATIVE Rates'!Units</vt:lpstr>
      <vt:lpstr>Units</vt:lpstr>
      <vt:lpstr>UtilityName</vt:lpstr>
    </vt:vector>
  </TitlesOfParts>
  <Company>The University of North Carolina at Chapel Hill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WRF User</cp:lastModifiedBy>
  <dcterms:created xsi:type="dcterms:W3CDTF">2012-12-24T03:41:41Z</dcterms:created>
  <dcterms:modified xsi:type="dcterms:W3CDTF">2013-12-26T21:09:04Z</dcterms:modified>
</cp:coreProperties>
</file>